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y Folders\Matt Quinn Foley\Data Valuation\"/>
    </mc:Choice>
  </mc:AlternateContent>
  <xr:revisionPtr revIDLastSave="0" documentId="13_ncr:1_{4BDB2FBC-FF71-458E-80CF-9FE892421C81}" xr6:coauthVersionLast="47" xr6:coauthVersionMax="47" xr10:uidLastSave="{00000000-0000-0000-0000-000000000000}"/>
  <bookViews>
    <workbookView xWindow="25490" yWindow="-110" windowWidth="25820" windowHeight="14020" activeTab="1" xr2:uid="{C75EB8B0-F073-4AEE-A402-DDDBD4E01872}"/>
  </bookViews>
  <sheets>
    <sheet name="Valuation Methodology" sheetId="2" r:id="rId1"/>
    <sheet name="RegA+ Offerings and Valuatio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6" i="1" l="1"/>
  <c r="L46" i="1" s="1"/>
  <c r="M46" i="1" s="1"/>
  <c r="I47" i="1"/>
  <c r="L47" i="1" s="1"/>
  <c r="M47" i="1" s="1"/>
  <c r="L45" i="1"/>
  <c r="M45" i="1" s="1"/>
  <c r="L44" i="1"/>
  <c r="M44" i="1" s="1"/>
  <c r="K44" i="1"/>
  <c r="K45" i="1"/>
  <c r="H43" i="1"/>
  <c r="J43" i="1"/>
  <c r="L43" i="1" s="1"/>
  <c r="M41" i="1"/>
  <c r="I42" i="1"/>
  <c r="L42" i="1" s="1"/>
  <c r="M42" i="1" s="1"/>
  <c r="J39" i="1"/>
  <c r="J40" i="1"/>
  <c r="M39" i="1"/>
  <c r="M40" i="1"/>
  <c r="L38" i="1"/>
  <c r="M38" i="1" s="1"/>
  <c r="J37" i="1"/>
  <c r="M37" i="1"/>
  <c r="L36" i="1"/>
  <c r="M36" i="1" s="1"/>
  <c r="L33" i="1"/>
  <c r="M33" i="1" s="1"/>
  <c r="L30" i="1"/>
  <c r="M30" i="1" s="1"/>
  <c r="J41" i="1"/>
  <c r="J35" i="1"/>
  <c r="M35" i="1"/>
  <c r="J34" i="1"/>
  <c r="M34" i="1"/>
  <c r="J31" i="1"/>
  <c r="M31" i="1"/>
  <c r="J23" i="1"/>
  <c r="J24" i="1"/>
  <c r="J25" i="1"/>
  <c r="J26" i="1"/>
  <c r="J27" i="1"/>
  <c r="J28" i="1"/>
  <c r="J29" i="1"/>
  <c r="M23" i="1"/>
  <c r="M24" i="1"/>
  <c r="M25" i="1"/>
  <c r="M26" i="1"/>
  <c r="M27" i="1"/>
  <c r="M28" i="1"/>
  <c r="M29" i="1"/>
  <c r="J22" i="1"/>
  <c r="M22" i="1"/>
  <c r="J21" i="1"/>
  <c r="M21" i="1"/>
  <c r="J20" i="1"/>
  <c r="L20" i="1" s="1"/>
  <c r="M20" i="1" s="1"/>
  <c r="J19" i="1"/>
  <c r="M19" i="1"/>
  <c r="J17" i="1"/>
  <c r="J18" i="1"/>
  <c r="M17" i="1"/>
  <c r="M18" i="1"/>
  <c r="M16" i="1"/>
  <c r="J15" i="1"/>
  <c r="M15" i="1"/>
  <c r="M14" i="1"/>
  <c r="J11" i="1"/>
  <c r="J6" i="1"/>
  <c r="J8" i="1"/>
  <c r="J7" i="1"/>
  <c r="J5" i="1"/>
  <c r="M11" i="1"/>
  <c r="I8" i="1"/>
  <c r="K8" i="1" s="1"/>
  <c r="K12" i="1"/>
  <c r="M12" i="1" s="1"/>
  <c r="L12" i="1" s="1"/>
  <c r="K11" i="1"/>
  <c r="K10" i="1"/>
  <c r="M10" i="1" s="1"/>
  <c r="L10" i="1" s="1"/>
  <c r="K9" i="1"/>
  <c r="M9" i="1" s="1"/>
  <c r="L9" i="1" s="1"/>
  <c r="K7" i="1"/>
  <c r="K6" i="1"/>
  <c r="K5" i="1"/>
  <c r="K13" i="1"/>
  <c r="M13" i="1" s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J32" i="1" s="1"/>
  <c r="L32" i="1" s="1"/>
  <c r="M32" i="1" s="1"/>
  <c r="K33" i="1"/>
  <c r="K34" i="1"/>
  <c r="K35" i="1"/>
  <c r="K36" i="1"/>
  <c r="K37" i="1"/>
  <c r="K38" i="1"/>
  <c r="K39" i="1"/>
  <c r="K40" i="1"/>
  <c r="K41" i="1"/>
  <c r="M8" i="1" l="1"/>
  <c r="L8" i="1" s="1"/>
  <c r="M43" i="1"/>
  <c r="M6" i="1"/>
  <c r="L6" i="1" s="1"/>
  <c r="M7" i="1"/>
  <c r="L7" i="1" s="1"/>
  <c r="M5" i="1"/>
  <c r="L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Quinn Foley</author>
  </authors>
  <commentList>
    <comment ref="J4" authorId="0" shapeId="0" xr:uid="{BDC4628D-894C-4052-A081-68EE5753A21C}">
      <text>
        <r>
          <rPr>
            <b/>
            <sz val="9"/>
            <color indexed="81"/>
            <rFont val="Tahoma"/>
            <charset val="1"/>
          </rPr>
          <t>Quinn Foley:</t>
        </r>
        <r>
          <rPr>
            <sz val="9"/>
            <color indexed="81"/>
            <rFont val="Tahoma"/>
            <charset val="1"/>
          </rPr>
          <t xml:space="preserve">
Shares outstanding prior to offering</t>
        </r>
      </text>
    </comment>
    <comment ref="M4" authorId="0" shapeId="0" xr:uid="{D4EA5AE0-EB62-4C7D-8CDD-70D25C62BD5E}">
      <text>
        <r>
          <rPr>
            <b/>
            <sz val="9"/>
            <color indexed="81"/>
            <rFont val="Tahoma"/>
            <charset val="1"/>
          </rPr>
          <t>Quinn Foley:</t>
        </r>
        <r>
          <rPr>
            <sz val="9"/>
            <color indexed="81"/>
            <rFont val="Tahoma"/>
            <charset val="1"/>
          </rPr>
          <t xml:space="preserve">
Implied post-money valuation assuming raise completed</t>
        </r>
      </text>
    </comment>
  </commentList>
</comments>
</file>

<file path=xl/sharedStrings.xml><?xml version="1.0" encoding="utf-8"?>
<sst xmlns="http://schemas.openxmlformats.org/spreadsheetml/2006/main" count="223" uniqueCount="93">
  <si>
    <t>Company</t>
  </si>
  <si>
    <t>Deal Status</t>
  </si>
  <si>
    <t>Target Raise</t>
  </si>
  <si>
    <t>Price per Share</t>
  </si>
  <si>
    <t>Shares Offered</t>
  </si>
  <si>
    <t>Medical 21</t>
  </si>
  <si>
    <t>Active</t>
  </si>
  <si>
    <t>Balanced Pharma</t>
  </si>
  <si>
    <t>Future Cardia</t>
  </si>
  <si>
    <t>LunaDNA</t>
  </si>
  <si>
    <t>GATC Health</t>
  </si>
  <si>
    <t>Innovative Health Solutions</t>
  </si>
  <si>
    <t>MedicaMetrix</t>
  </si>
  <si>
    <t>Stella Diagnostics</t>
  </si>
  <si>
    <t>CoLabs Int’l</t>
  </si>
  <si>
    <t>Virtuoso Surgical, Inc.</t>
  </si>
  <si>
    <t>Biologx</t>
  </si>
  <si>
    <t>ClearLight Biotechnologies</t>
  </si>
  <si>
    <t>Funded</t>
  </si>
  <si>
    <t>NowRx</t>
  </si>
  <si>
    <t>20/20 GeneSystems</t>
  </si>
  <si>
    <t>Oracle Health</t>
  </si>
  <si>
    <t>Monogram Orthopaedics</t>
  </si>
  <si>
    <t>Greenfield Groves Group</t>
  </si>
  <si>
    <t>Brain Scientific</t>
  </si>
  <si>
    <t>IdentifySensors</t>
  </si>
  <si>
    <t>BioLife4D</t>
  </si>
  <si>
    <t>Global Cancer Technology</t>
  </si>
  <si>
    <t>Cytonics</t>
  </si>
  <si>
    <t>Shackelford Pharma</t>
  </si>
  <si>
    <t>Emerald Health Pharmaceuticals</t>
  </si>
  <si>
    <t>Quadrant Biosciences</t>
  </si>
  <si>
    <t>Juva Life</t>
  </si>
  <si>
    <t>Close Date</t>
  </si>
  <si>
    <t>Smart Rx Systems</t>
  </si>
  <si>
    <t>Facible</t>
  </si>
  <si>
    <t>Allied Corp.</t>
  </si>
  <si>
    <t>Evio</t>
  </si>
  <si>
    <t>Item 9 Labs</t>
  </si>
  <si>
    <t>Sibannac</t>
  </si>
  <si>
    <t>Endonovo Therapeutics</t>
  </si>
  <si>
    <t>Upcoming</t>
  </si>
  <si>
    <t>--</t>
  </si>
  <si>
    <t>BioAdaptives</t>
  </si>
  <si>
    <t>Shares Out.</t>
  </si>
  <si>
    <t>Pre-Money Val</t>
  </si>
  <si>
    <t>Post-Money Val</t>
  </si>
  <si>
    <t>Aeroclean Technologies</t>
  </si>
  <si>
    <t>XEME Biopharma</t>
  </si>
  <si>
    <t>NA</t>
  </si>
  <si>
    <t>RemSleep Holdings</t>
  </si>
  <si>
    <t>RespireRx</t>
  </si>
  <si>
    <t>Coeptis Therapeutics</t>
  </si>
  <si>
    <t>Scopus BioPharma</t>
  </si>
  <si>
    <t>Medical Company Reg A+ Offerings and Valuations</t>
  </si>
  <si>
    <t>Source: Disclosure Quest, KingsCrowd</t>
  </si>
  <si>
    <t>Industry</t>
  </si>
  <si>
    <t>Biotechnology</t>
  </si>
  <si>
    <t>HealthTech</t>
  </si>
  <si>
    <t>Pharmaceuticals</t>
  </si>
  <si>
    <t>Cardiac Devices</t>
  </si>
  <si>
    <t>Therapeutic Devices</t>
  </si>
  <si>
    <t>Urology Devices</t>
  </si>
  <si>
    <t>Diagnostic Equipment</t>
  </si>
  <si>
    <t>Drug Discovery</t>
  </si>
  <si>
    <t>Surgical Devices</t>
  </si>
  <si>
    <t>Digital Health</t>
  </si>
  <si>
    <t>Neurological Devices</t>
  </si>
  <si>
    <t>Start Date</t>
  </si>
  <si>
    <t>Platform</t>
  </si>
  <si>
    <t>Rialto Markets</t>
  </si>
  <si>
    <t>Dalmore Group</t>
  </si>
  <si>
    <t>StartEngine</t>
  </si>
  <si>
    <t>Self Managed</t>
  </si>
  <si>
    <t>Manhattan Street Capital</t>
  </si>
  <si>
    <t>Exemplar Capital</t>
  </si>
  <si>
    <t>Deer Isle Capital</t>
  </si>
  <si>
    <t>SeedInvest</t>
  </si>
  <si>
    <t>Republic</t>
  </si>
  <si>
    <t>Wefunder</t>
  </si>
  <si>
    <t>Andes Capital</t>
  </si>
  <si>
    <t>Primary Capital</t>
  </si>
  <si>
    <t>Valuation Methodology</t>
  </si>
  <si>
    <t>An issuing company's valuation is comprised of two components: pre-money valuation and post-money valuation</t>
  </si>
  <si>
    <t>Pre-money valuation = offering price/share x shares outstanding before offering</t>
  </si>
  <si>
    <t>Post-money valuation = pre-money valuation + Reg A+ investment</t>
  </si>
  <si>
    <t>Post-money valuation = offering price/share x shares outstanding after offering</t>
  </si>
  <si>
    <t>(or)</t>
  </si>
  <si>
    <r>
      <rPr>
        <b/>
        <sz val="10"/>
        <color theme="1"/>
        <rFont val="Calibri"/>
        <family val="2"/>
        <scheme val="minor"/>
      </rPr>
      <t>Post-money valuation</t>
    </r>
    <r>
      <rPr>
        <sz val="10"/>
        <color theme="1"/>
        <rFont val="Calibri"/>
        <family val="2"/>
        <scheme val="minor"/>
      </rPr>
      <t xml:space="preserve"> is the implied value of the company </t>
    </r>
    <r>
      <rPr>
        <i/>
        <sz val="10"/>
        <color theme="1"/>
        <rFont val="Calibri"/>
        <family val="2"/>
        <scheme val="minor"/>
      </rPr>
      <t>after</t>
    </r>
    <r>
      <rPr>
        <sz val="10"/>
        <color theme="1"/>
        <rFont val="Calibri"/>
        <family val="2"/>
        <scheme val="minor"/>
      </rPr>
      <t xml:space="preserve"> the offering taking into account the amount raised. Our calculation assumes a complete offering for the target amount</t>
    </r>
  </si>
  <si>
    <t>Example: Company X prices $50 million raise at $5/share and has 25 million shares outstanding before the offering</t>
  </si>
  <si>
    <t>Pre-money valuation = $5/share x 25 million shares = $125 million</t>
  </si>
  <si>
    <t>Post-money valuation = $125 million + $50 million investment = $175 million</t>
  </si>
  <si>
    <r>
      <rPr>
        <b/>
        <sz val="10"/>
        <color theme="1"/>
        <rFont val="Calibri"/>
        <family val="2"/>
        <scheme val="minor"/>
      </rPr>
      <t>Pre-money valuation</t>
    </r>
    <r>
      <rPr>
        <sz val="10"/>
        <color theme="1"/>
        <rFont val="Calibri"/>
        <family val="2"/>
        <scheme val="minor"/>
      </rPr>
      <t xml:space="preserve"> is the implied value of the company </t>
    </r>
    <r>
      <rPr>
        <i/>
        <sz val="10"/>
        <color theme="1"/>
        <rFont val="Calibri"/>
        <family val="2"/>
        <scheme val="minor"/>
      </rPr>
      <t>prior to</t>
    </r>
    <r>
      <rPr>
        <sz val="10"/>
        <color theme="1"/>
        <rFont val="Calibri"/>
        <family val="2"/>
        <scheme val="minor"/>
      </rPr>
      <t xml:space="preserve"> the offering based on the issue price and company's total shares outstanding before the offering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</si>
</sst>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64" fontId="1" fillId="0" borderId="0" xfId="0" applyNumberFormat="1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$&quot;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$&quot;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&quot;$&quot;#,##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$&quot;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F36A40-3624-4E48-B081-47DC336A02BE}" name="Table1" displayName="Table1" ref="B4:M47" totalsRowShown="0" headerRowDxfId="13" dataDxfId="12">
  <autoFilter ref="B4:M47" xr:uid="{3AF36A40-3624-4E48-B081-47DC336A02BE}"/>
  <tableColumns count="12">
    <tableColumn id="1" xr3:uid="{9C3C23BD-6E28-4B87-BDFE-0C6F25E4B48C}" name="Company" dataDxfId="11"/>
    <tableColumn id="10" xr3:uid="{CCECCFA9-9A75-439B-B4B1-E663D35D66E8}" name="Industry" dataDxfId="10"/>
    <tableColumn id="12" xr3:uid="{544B80D6-EB5C-4327-9119-69AF7222707D}" name="Platform" dataDxfId="9"/>
    <tableColumn id="2" xr3:uid="{C2246FFF-AEAD-4180-9AF1-D9F07FBA049E}" name="Deal Status" dataDxfId="8"/>
    <tableColumn id="11" xr3:uid="{35962C45-DAF0-4EDC-9392-8C90E9C25109}" name="Start Date" dataDxfId="7"/>
    <tableColumn id="3" xr3:uid="{CDD28E5D-7832-46BE-9D92-DCCF61C097D8}" name="Close Date" dataDxfId="6"/>
    <tableColumn id="4" xr3:uid="{6CE98DDF-0FBA-4065-9570-6C617CB46732}" name="Target Raise" dataDxfId="5"/>
    <tableColumn id="5" xr3:uid="{9171F2CB-F5EA-4EAF-B477-2337BDCF5040}" name="Price per Share" dataDxfId="4"/>
    <tableColumn id="6" xr3:uid="{D9E39904-D034-4719-989F-D52CCC8F5106}" name="Shares Out." dataDxfId="3"/>
    <tableColumn id="7" xr3:uid="{1C0C81F0-52A6-434D-A62E-73A9C4E97F00}" name="Shares Offered" dataDxfId="2"/>
    <tableColumn id="8" xr3:uid="{DC1C268F-82C2-4470-A2A3-6C417001C3AA}" name="Pre-Money Val" dataDxfId="1">
      <calculatedColumnFormula>I5*J5</calculatedColumnFormula>
    </tableColumn>
    <tableColumn id="9" xr3:uid="{43DF7B08-53C9-4AEE-ABC8-E1CF4596AD9C}" name="Post-Money Val" dataDxfId="0">
      <calculatedColumnFormula>L5+H5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E73A8-2B9D-49F7-ADE8-4A2549178B60}">
  <dimension ref="B2:J23"/>
  <sheetViews>
    <sheetView showGridLines="0" zoomScale="75" zoomScaleNormal="75" workbookViewId="0">
      <selection activeCell="P20" sqref="P20"/>
    </sheetView>
  </sheetViews>
  <sheetFormatPr defaultRowHeight="13" x14ac:dyDescent="0.3"/>
  <cols>
    <col min="1" max="9" width="8.7265625" style="1"/>
    <col min="10" max="10" width="10.54296875" style="1" bestFit="1" customWidth="1"/>
    <col min="11" max="16384" width="8.7265625" style="1"/>
  </cols>
  <sheetData>
    <row r="2" spans="2:4" ht="15.5" x14ac:dyDescent="0.35">
      <c r="B2" s="7" t="s">
        <v>82</v>
      </c>
    </row>
    <row r="4" spans="2:4" x14ac:dyDescent="0.3">
      <c r="B4" s="1" t="s">
        <v>83</v>
      </c>
    </row>
    <row r="6" spans="2:4" x14ac:dyDescent="0.3">
      <c r="C6" s="1" t="s">
        <v>92</v>
      </c>
    </row>
    <row r="8" spans="2:4" x14ac:dyDescent="0.3">
      <c r="D8" s="1" t="s">
        <v>84</v>
      </c>
    </row>
    <row r="10" spans="2:4" x14ac:dyDescent="0.3">
      <c r="C10" s="1" t="s">
        <v>88</v>
      </c>
    </row>
    <row r="12" spans="2:4" x14ac:dyDescent="0.3">
      <c r="D12" s="1" t="s">
        <v>85</v>
      </c>
    </row>
    <row r="14" spans="2:4" x14ac:dyDescent="0.3">
      <c r="D14" s="1" t="s">
        <v>87</v>
      </c>
    </row>
    <row r="16" spans="2:4" x14ac:dyDescent="0.3">
      <c r="D16" s="1" t="s">
        <v>86</v>
      </c>
    </row>
    <row r="19" spans="2:10" x14ac:dyDescent="0.3">
      <c r="B19" s="1" t="s">
        <v>89</v>
      </c>
    </row>
    <row r="21" spans="2:10" x14ac:dyDescent="0.3">
      <c r="C21" s="1" t="s">
        <v>90</v>
      </c>
      <c r="J21" s="6"/>
    </row>
    <row r="23" spans="2:10" x14ac:dyDescent="0.3">
      <c r="C23" s="1" t="s">
        <v>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8A7B3-BF06-44F4-B5A7-68EC4D0E2067}">
  <dimension ref="B2:M49"/>
  <sheetViews>
    <sheetView showGridLines="0" tabSelected="1" topLeftCell="A3" zoomScale="95" zoomScaleNormal="95" workbookViewId="0">
      <selection activeCell="B3" sqref="B3"/>
    </sheetView>
  </sheetViews>
  <sheetFormatPr defaultRowHeight="13" x14ac:dyDescent="0.3"/>
  <cols>
    <col min="1" max="1" width="8.7265625" style="1"/>
    <col min="2" max="2" width="26.08984375" style="1" customWidth="1"/>
    <col min="3" max="3" width="18.81640625" style="1" customWidth="1"/>
    <col min="4" max="4" width="22" style="1" customWidth="1"/>
    <col min="5" max="7" width="13.81640625" style="1" customWidth="1"/>
    <col min="8" max="9" width="14" style="1" customWidth="1"/>
    <col min="10" max="10" width="13.26953125" style="1" customWidth="1"/>
    <col min="11" max="11" width="14.1796875" style="1" customWidth="1"/>
    <col min="12" max="12" width="14.90625" style="1" customWidth="1"/>
    <col min="13" max="13" width="14.7265625" style="1" customWidth="1"/>
    <col min="14" max="16384" width="8.7265625" style="1"/>
  </cols>
  <sheetData>
    <row r="2" spans="2:13" ht="15.5" x14ac:dyDescent="0.35">
      <c r="B2" s="7" t="s">
        <v>54</v>
      </c>
      <c r="C2" s="7"/>
      <c r="D2" s="7"/>
    </row>
    <row r="4" spans="2:13" x14ac:dyDescent="0.3">
      <c r="B4" s="1" t="s">
        <v>0</v>
      </c>
      <c r="C4" s="1" t="s">
        <v>56</v>
      </c>
      <c r="D4" s="1" t="s">
        <v>69</v>
      </c>
      <c r="E4" s="1" t="s">
        <v>1</v>
      </c>
      <c r="F4" s="1" t="s">
        <v>68</v>
      </c>
      <c r="G4" s="1" t="s">
        <v>33</v>
      </c>
      <c r="H4" s="1" t="s">
        <v>2</v>
      </c>
      <c r="I4" s="1" t="s">
        <v>3</v>
      </c>
      <c r="J4" s="1" t="s">
        <v>44</v>
      </c>
      <c r="K4" s="1" t="s">
        <v>4</v>
      </c>
      <c r="L4" s="1" t="s">
        <v>45</v>
      </c>
      <c r="M4" s="1" t="s">
        <v>46</v>
      </c>
    </row>
    <row r="5" spans="2:13" x14ac:dyDescent="0.3">
      <c r="B5" s="1" t="s">
        <v>40</v>
      </c>
      <c r="C5" s="1" t="s">
        <v>57</v>
      </c>
      <c r="D5" s="1" t="s">
        <v>71</v>
      </c>
      <c r="E5" s="1" t="s">
        <v>41</v>
      </c>
      <c r="F5" s="2" t="s">
        <v>42</v>
      </c>
      <c r="G5" s="2" t="s">
        <v>42</v>
      </c>
      <c r="H5" s="3">
        <v>5000000</v>
      </c>
      <c r="I5" s="4">
        <v>2.5000000000000001E-2</v>
      </c>
      <c r="J5" s="5">
        <f>149527538+26643</f>
        <v>149554181</v>
      </c>
      <c r="K5" s="5">
        <f t="shared" ref="K5:K41" si="0">H5/I5</f>
        <v>200000000</v>
      </c>
      <c r="L5" s="3">
        <f t="shared" ref="L5:L10" si="1">M5-H5</f>
        <v>3738854.5250000004</v>
      </c>
      <c r="M5" s="3">
        <f t="shared" ref="M5:M8" si="2">(J5+K5)*I5</f>
        <v>8738854.5250000004</v>
      </c>
    </row>
    <row r="6" spans="2:13" x14ac:dyDescent="0.3">
      <c r="B6" s="1" t="s">
        <v>34</v>
      </c>
      <c r="C6" s="1" t="s">
        <v>58</v>
      </c>
      <c r="D6" s="1" t="s">
        <v>80</v>
      </c>
      <c r="E6" s="1" t="s">
        <v>41</v>
      </c>
      <c r="F6" s="2" t="s">
        <v>42</v>
      </c>
      <c r="G6" s="2" t="s">
        <v>42</v>
      </c>
      <c r="H6" s="3">
        <v>50000000</v>
      </c>
      <c r="I6" s="4">
        <v>10</v>
      </c>
      <c r="J6" s="5">
        <f>1363400+7230950-5000000</f>
        <v>3594350</v>
      </c>
      <c r="K6" s="5">
        <f t="shared" si="0"/>
        <v>5000000</v>
      </c>
      <c r="L6" s="3">
        <f t="shared" si="1"/>
        <v>35943500</v>
      </c>
      <c r="M6" s="3">
        <f t="shared" si="2"/>
        <v>85943500</v>
      </c>
    </row>
    <row r="7" spans="2:13" x14ac:dyDescent="0.3">
      <c r="B7" s="1" t="s">
        <v>35</v>
      </c>
      <c r="C7" s="1" t="s">
        <v>57</v>
      </c>
      <c r="D7" s="1" t="s">
        <v>70</v>
      </c>
      <c r="E7" s="1" t="s">
        <v>41</v>
      </c>
      <c r="F7" s="2" t="s">
        <v>42</v>
      </c>
      <c r="G7" s="2" t="s">
        <v>42</v>
      </c>
      <c r="H7" s="3">
        <v>40000000</v>
      </c>
      <c r="I7" s="4">
        <v>5.8</v>
      </c>
      <c r="J7" s="5">
        <f>29346045+18775000+18840621</f>
        <v>66961666</v>
      </c>
      <c r="K7" s="5">
        <f t="shared" si="0"/>
        <v>6896551.7241379311</v>
      </c>
      <c r="L7" s="3">
        <f t="shared" si="1"/>
        <v>388377662.80000001</v>
      </c>
      <c r="M7" s="3">
        <f t="shared" si="2"/>
        <v>428377662.80000001</v>
      </c>
    </row>
    <row r="8" spans="2:13" x14ac:dyDescent="0.3">
      <c r="B8" s="1" t="s">
        <v>43</v>
      </c>
      <c r="C8" s="1" t="s">
        <v>59</v>
      </c>
      <c r="D8" s="1" t="s">
        <v>73</v>
      </c>
      <c r="E8" s="1" t="s">
        <v>41</v>
      </c>
      <c r="F8" s="2" t="s">
        <v>42</v>
      </c>
      <c r="G8" s="2" t="s">
        <v>42</v>
      </c>
      <c r="H8" s="3">
        <v>1500000</v>
      </c>
      <c r="I8" s="4">
        <f>H8/200000000</f>
        <v>7.4999999999999997E-3</v>
      </c>
      <c r="J8" s="5">
        <f>67367483+1600000</f>
        <v>68967483</v>
      </c>
      <c r="K8" s="5">
        <f t="shared" si="0"/>
        <v>200000000</v>
      </c>
      <c r="L8" s="3">
        <f t="shared" si="1"/>
        <v>517256.12249999982</v>
      </c>
      <c r="M8" s="3">
        <f t="shared" si="2"/>
        <v>2017256.1224999998</v>
      </c>
    </row>
    <row r="9" spans="2:13" x14ac:dyDescent="0.3">
      <c r="B9" s="1" t="s">
        <v>36</v>
      </c>
      <c r="C9" s="1" t="s">
        <v>59</v>
      </c>
      <c r="D9" s="1" t="s">
        <v>42</v>
      </c>
      <c r="E9" s="1" t="s">
        <v>41</v>
      </c>
      <c r="F9" s="2" t="s">
        <v>42</v>
      </c>
      <c r="G9" s="2" t="s">
        <v>42</v>
      </c>
      <c r="H9" s="3">
        <v>10000000</v>
      </c>
      <c r="I9" s="4">
        <v>1.75</v>
      </c>
      <c r="J9" s="5">
        <v>84666667</v>
      </c>
      <c r="K9" s="5">
        <f t="shared" si="0"/>
        <v>5714285.7142857146</v>
      </c>
      <c r="L9" s="3">
        <f t="shared" si="1"/>
        <v>148166667.25</v>
      </c>
      <c r="M9" s="3">
        <f t="shared" ref="M9:M13" si="3">(J9+K9)*I9</f>
        <v>158166667.25</v>
      </c>
    </row>
    <row r="10" spans="2:13" x14ac:dyDescent="0.3">
      <c r="B10" s="1" t="s">
        <v>37</v>
      </c>
      <c r="C10" s="1" t="s">
        <v>59</v>
      </c>
      <c r="D10" s="1" t="s">
        <v>42</v>
      </c>
      <c r="E10" s="1" t="s">
        <v>41</v>
      </c>
      <c r="F10" s="2" t="s">
        <v>42</v>
      </c>
      <c r="G10" s="2" t="s">
        <v>42</v>
      </c>
      <c r="H10" s="3">
        <v>9000000</v>
      </c>
      <c r="I10" s="4">
        <v>2.9999999999999997E-4</v>
      </c>
      <c r="J10" s="5">
        <v>10118466153</v>
      </c>
      <c r="K10" s="5">
        <f t="shared" si="0"/>
        <v>30000000000.000004</v>
      </c>
      <c r="L10" s="3">
        <f t="shared" si="1"/>
        <v>3035539.8458999991</v>
      </c>
      <c r="M10" s="3">
        <f t="shared" si="3"/>
        <v>12035539.845899999</v>
      </c>
    </row>
    <row r="11" spans="2:13" x14ac:dyDescent="0.3">
      <c r="B11" s="1" t="s">
        <v>38</v>
      </c>
      <c r="C11" s="1" t="s">
        <v>59</v>
      </c>
      <c r="D11" s="1" t="s">
        <v>71</v>
      </c>
      <c r="E11" s="1" t="s">
        <v>6</v>
      </c>
      <c r="F11" s="2">
        <v>44617</v>
      </c>
      <c r="G11" s="2">
        <v>44982</v>
      </c>
      <c r="H11" s="3">
        <v>67200000</v>
      </c>
      <c r="I11" s="4">
        <v>1.4</v>
      </c>
      <c r="J11" s="5">
        <f>L11/I11</f>
        <v>95041184.285714298</v>
      </c>
      <c r="K11" s="5">
        <f t="shared" si="0"/>
        <v>48000000</v>
      </c>
      <c r="L11" s="3">
        <v>133057658</v>
      </c>
      <c r="M11" s="3">
        <f>L11+H11</f>
        <v>200257658</v>
      </c>
    </row>
    <row r="12" spans="2:13" x14ac:dyDescent="0.3">
      <c r="B12" s="1" t="s">
        <v>39</v>
      </c>
      <c r="C12" s="1" t="s">
        <v>59</v>
      </c>
      <c r="D12" s="1" t="s">
        <v>42</v>
      </c>
      <c r="E12" s="1" t="s">
        <v>41</v>
      </c>
      <c r="F12" s="2" t="s">
        <v>42</v>
      </c>
      <c r="G12" s="2" t="s">
        <v>42</v>
      </c>
      <c r="H12" s="3">
        <v>9450000</v>
      </c>
      <c r="I12" s="4">
        <v>0.15</v>
      </c>
      <c r="J12" s="5">
        <v>60000000</v>
      </c>
      <c r="K12" s="5">
        <f t="shared" si="0"/>
        <v>63000000</v>
      </c>
      <c r="L12" s="3">
        <f>M12-H12</f>
        <v>9000000</v>
      </c>
      <c r="M12" s="3">
        <f t="shared" si="3"/>
        <v>18450000</v>
      </c>
    </row>
    <row r="13" spans="2:13" x14ac:dyDescent="0.3">
      <c r="B13" s="1" t="s">
        <v>5</v>
      </c>
      <c r="C13" s="1" t="s">
        <v>60</v>
      </c>
      <c r="D13" s="1" t="s">
        <v>70</v>
      </c>
      <c r="E13" s="1" t="s">
        <v>6</v>
      </c>
      <c r="F13" s="2">
        <v>44678</v>
      </c>
      <c r="G13" s="2">
        <v>45043</v>
      </c>
      <c r="H13" s="3">
        <v>40000000</v>
      </c>
      <c r="I13" s="4">
        <v>5.8</v>
      </c>
      <c r="J13" s="5">
        <v>18065830</v>
      </c>
      <c r="K13" s="5">
        <f t="shared" si="0"/>
        <v>6896551.7241379311</v>
      </c>
      <c r="L13" s="3">
        <v>40000000</v>
      </c>
      <c r="M13" s="3">
        <f t="shared" si="3"/>
        <v>144781814</v>
      </c>
    </row>
    <row r="14" spans="2:13" x14ac:dyDescent="0.3">
      <c r="B14" s="1" t="s">
        <v>7</v>
      </c>
      <c r="C14" s="1" t="s">
        <v>59</v>
      </c>
      <c r="D14" s="1" t="s">
        <v>71</v>
      </c>
      <c r="E14" s="1" t="s">
        <v>6</v>
      </c>
      <c r="F14" s="2">
        <v>44662</v>
      </c>
      <c r="G14" s="2">
        <v>45026</v>
      </c>
      <c r="H14" s="3">
        <v>25000000</v>
      </c>
      <c r="I14" s="4">
        <v>4</v>
      </c>
      <c r="J14" s="5">
        <v>20610000</v>
      </c>
      <c r="K14" s="5">
        <f t="shared" si="0"/>
        <v>6250000</v>
      </c>
      <c r="L14" s="3">
        <v>82440000</v>
      </c>
      <c r="M14" s="3">
        <f>(J14*I14)+H14</f>
        <v>107440000</v>
      </c>
    </row>
    <row r="15" spans="2:13" x14ac:dyDescent="0.3">
      <c r="B15" s="1" t="s">
        <v>8</v>
      </c>
      <c r="C15" s="1" t="s">
        <v>60</v>
      </c>
      <c r="D15" s="1" t="s">
        <v>72</v>
      </c>
      <c r="E15" s="1" t="s">
        <v>6</v>
      </c>
      <c r="F15" s="2">
        <v>44552</v>
      </c>
      <c r="G15" s="2">
        <v>44733</v>
      </c>
      <c r="H15" s="3">
        <v>8000000</v>
      </c>
      <c r="I15" s="4">
        <v>2</v>
      </c>
      <c r="J15" s="5">
        <f>L15/I15</f>
        <v>10000000</v>
      </c>
      <c r="K15" s="5">
        <f t="shared" si="0"/>
        <v>4000000</v>
      </c>
      <c r="L15" s="3">
        <v>20000000</v>
      </c>
      <c r="M15" s="3">
        <f>L15+H15</f>
        <v>28000000</v>
      </c>
    </row>
    <row r="16" spans="2:13" x14ac:dyDescent="0.3">
      <c r="B16" s="1" t="s">
        <v>9</v>
      </c>
      <c r="C16" s="1" t="s">
        <v>58</v>
      </c>
      <c r="D16" s="1" t="s">
        <v>73</v>
      </c>
      <c r="E16" s="1" t="s">
        <v>6</v>
      </c>
      <c r="F16" s="2">
        <v>44532</v>
      </c>
      <c r="G16" s="2">
        <v>44742</v>
      </c>
      <c r="H16" s="3">
        <v>2100000</v>
      </c>
      <c r="I16" s="4">
        <v>7.0000000000000007E-2</v>
      </c>
      <c r="J16" s="5">
        <v>368392</v>
      </c>
      <c r="K16" s="5">
        <f t="shared" si="0"/>
        <v>29999999.999999996</v>
      </c>
      <c r="L16" s="3">
        <v>25787</v>
      </c>
      <c r="M16" s="3">
        <f>(J16*I16)+H16</f>
        <v>2125787.44</v>
      </c>
    </row>
    <row r="17" spans="2:13" x14ac:dyDescent="0.3">
      <c r="B17" s="1" t="s">
        <v>10</v>
      </c>
      <c r="C17" s="1" t="s">
        <v>58</v>
      </c>
      <c r="D17" s="1" t="s">
        <v>74</v>
      </c>
      <c r="E17" s="1" t="s">
        <v>6</v>
      </c>
      <c r="F17" s="2">
        <v>44469</v>
      </c>
      <c r="G17" s="2">
        <v>44833</v>
      </c>
      <c r="H17" s="3">
        <v>54752200</v>
      </c>
      <c r="I17" s="4">
        <v>5</v>
      </c>
      <c r="J17" s="5">
        <f t="shared" ref="J17:J19" si="4">L17/I17</f>
        <v>26147439</v>
      </c>
      <c r="K17" s="5">
        <f t="shared" si="0"/>
        <v>10950440</v>
      </c>
      <c r="L17" s="3">
        <v>130737195</v>
      </c>
      <c r="M17" s="3">
        <f t="shared" ref="M17:M40" si="5">L17+H17</f>
        <v>185489395</v>
      </c>
    </row>
    <row r="18" spans="2:13" x14ac:dyDescent="0.3">
      <c r="B18" s="1" t="s">
        <v>11</v>
      </c>
      <c r="C18" s="1" t="s">
        <v>61</v>
      </c>
      <c r="D18" s="1" t="s">
        <v>75</v>
      </c>
      <c r="E18" s="1" t="s">
        <v>6</v>
      </c>
      <c r="F18" s="2">
        <v>44462</v>
      </c>
      <c r="G18" s="2">
        <v>44826</v>
      </c>
      <c r="H18" s="3">
        <v>20000000</v>
      </c>
      <c r="I18" s="4">
        <v>7.75</v>
      </c>
      <c r="J18" s="5">
        <f t="shared" si="4"/>
        <v>7056386.064516129</v>
      </c>
      <c r="K18" s="5">
        <f t="shared" si="0"/>
        <v>2580645.1612903224</v>
      </c>
      <c r="L18" s="3">
        <v>54686992</v>
      </c>
      <c r="M18" s="3">
        <f t="shared" si="5"/>
        <v>74686992</v>
      </c>
    </row>
    <row r="19" spans="2:13" x14ac:dyDescent="0.3">
      <c r="B19" s="1" t="s">
        <v>12</v>
      </c>
      <c r="C19" s="1" t="s">
        <v>62</v>
      </c>
      <c r="D19" s="1" t="s">
        <v>71</v>
      </c>
      <c r="E19" s="1" t="s">
        <v>6</v>
      </c>
      <c r="F19" s="2">
        <v>44452</v>
      </c>
      <c r="G19" s="2">
        <v>44816</v>
      </c>
      <c r="H19" s="3">
        <v>20000000</v>
      </c>
      <c r="I19" s="4">
        <v>5</v>
      </c>
      <c r="J19" s="5">
        <f t="shared" si="4"/>
        <v>4000000</v>
      </c>
      <c r="K19" s="5">
        <f t="shared" si="0"/>
        <v>4000000</v>
      </c>
      <c r="L19" s="3">
        <v>20000000</v>
      </c>
      <c r="M19" s="3">
        <f t="shared" si="5"/>
        <v>40000000</v>
      </c>
    </row>
    <row r="20" spans="2:13" x14ac:dyDescent="0.3">
      <c r="B20" s="1" t="s">
        <v>13</v>
      </c>
      <c r="C20" s="1" t="s">
        <v>63</v>
      </c>
      <c r="D20" s="1" t="s">
        <v>71</v>
      </c>
      <c r="E20" s="1" t="s">
        <v>6</v>
      </c>
      <c r="F20" s="2">
        <v>44371</v>
      </c>
      <c r="G20" s="2">
        <v>44736</v>
      </c>
      <c r="H20" s="3">
        <v>20000000</v>
      </c>
      <c r="I20" s="4">
        <v>5</v>
      </c>
      <c r="J20" s="5">
        <f>96365470+100000+927514</f>
        <v>97392984</v>
      </c>
      <c r="K20" s="5">
        <f t="shared" si="0"/>
        <v>4000000</v>
      </c>
      <c r="L20" s="3">
        <f>J20*I20</f>
        <v>486964920</v>
      </c>
      <c r="M20" s="3">
        <f t="shared" si="5"/>
        <v>506964920</v>
      </c>
    </row>
    <row r="21" spans="2:13" x14ac:dyDescent="0.3">
      <c r="B21" s="1" t="s">
        <v>14</v>
      </c>
      <c r="C21" s="1" t="s">
        <v>64</v>
      </c>
      <c r="D21" s="1" t="s">
        <v>71</v>
      </c>
      <c r="E21" s="1" t="s">
        <v>6</v>
      </c>
      <c r="F21" s="2">
        <v>44340</v>
      </c>
      <c r="G21" s="2">
        <v>44709</v>
      </c>
      <c r="H21" s="3">
        <v>19500000</v>
      </c>
      <c r="I21" s="4">
        <v>6.5</v>
      </c>
      <c r="J21" s="5">
        <f>L21/I21</f>
        <v>18125000</v>
      </c>
      <c r="K21" s="5">
        <f t="shared" si="0"/>
        <v>3000000</v>
      </c>
      <c r="L21" s="3">
        <v>117812500</v>
      </c>
      <c r="M21" s="3">
        <f t="shared" si="5"/>
        <v>137312500</v>
      </c>
    </row>
    <row r="22" spans="2:13" x14ac:dyDescent="0.3">
      <c r="B22" s="1" t="s">
        <v>15</v>
      </c>
      <c r="C22" s="1" t="s">
        <v>65</v>
      </c>
      <c r="D22" s="1" t="s">
        <v>76</v>
      </c>
      <c r="E22" s="1" t="s">
        <v>6</v>
      </c>
      <c r="F22" s="2">
        <v>44323</v>
      </c>
      <c r="G22" s="2">
        <v>44742</v>
      </c>
      <c r="H22" s="3">
        <v>20000000</v>
      </c>
      <c r="I22" s="4">
        <v>1</v>
      </c>
      <c r="J22" s="5">
        <f t="shared" ref="J22" si="6">L22/I22</f>
        <v>6927500</v>
      </c>
      <c r="K22" s="5">
        <f t="shared" si="0"/>
        <v>20000000</v>
      </c>
      <c r="L22" s="3">
        <v>6927500</v>
      </c>
      <c r="M22" s="3">
        <f t="shared" si="5"/>
        <v>26927500</v>
      </c>
    </row>
    <row r="23" spans="2:13" x14ac:dyDescent="0.3">
      <c r="B23" s="1" t="s">
        <v>16</v>
      </c>
      <c r="C23" s="1" t="s">
        <v>59</v>
      </c>
      <c r="D23" s="1" t="s">
        <v>74</v>
      </c>
      <c r="E23" s="1" t="s">
        <v>6</v>
      </c>
      <c r="F23" s="2">
        <v>44168</v>
      </c>
      <c r="G23" s="2">
        <v>44742</v>
      </c>
      <c r="H23" s="3">
        <v>50000000</v>
      </c>
      <c r="I23" s="4">
        <v>4.0999999999999996</v>
      </c>
      <c r="J23" s="5">
        <f t="shared" ref="J23:J31" si="7">L23/I23</f>
        <v>20000000</v>
      </c>
      <c r="K23" s="5">
        <f t="shared" si="0"/>
        <v>12195121.951219514</v>
      </c>
      <c r="L23" s="3">
        <v>82000000</v>
      </c>
      <c r="M23" s="3">
        <f t="shared" si="5"/>
        <v>132000000</v>
      </c>
    </row>
    <row r="24" spans="2:13" x14ac:dyDescent="0.3">
      <c r="B24" s="1" t="s">
        <v>17</v>
      </c>
      <c r="C24" s="1" t="s">
        <v>63</v>
      </c>
      <c r="D24" s="1" t="s">
        <v>73</v>
      </c>
      <c r="E24" s="1" t="s">
        <v>18</v>
      </c>
      <c r="F24" s="2">
        <v>44518</v>
      </c>
      <c r="G24" s="2">
        <v>44698</v>
      </c>
      <c r="H24" s="3">
        <v>240000</v>
      </c>
      <c r="I24" s="4">
        <v>12</v>
      </c>
      <c r="J24" s="5">
        <f t="shared" si="7"/>
        <v>1134331</v>
      </c>
      <c r="K24" s="5">
        <f t="shared" si="0"/>
        <v>20000</v>
      </c>
      <c r="L24" s="3">
        <v>13611972</v>
      </c>
      <c r="M24" s="3">
        <f t="shared" si="5"/>
        <v>13851972</v>
      </c>
    </row>
    <row r="25" spans="2:13" x14ac:dyDescent="0.3">
      <c r="B25" s="1" t="s">
        <v>19</v>
      </c>
      <c r="C25" s="1" t="s">
        <v>66</v>
      </c>
      <c r="D25" s="1" t="s">
        <v>77</v>
      </c>
      <c r="E25" s="1" t="s">
        <v>18</v>
      </c>
      <c r="F25" s="2">
        <v>44474</v>
      </c>
      <c r="G25" s="2">
        <v>44701</v>
      </c>
      <c r="H25" s="3">
        <v>75000000</v>
      </c>
      <c r="I25" s="4">
        <v>10.5</v>
      </c>
      <c r="J25" s="5">
        <f t="shared" si="7"/>
        <v>26190476.19047619</v>
      </c>
      <c r="K25" s="5">
        <f t="shared" si="0"/>
        <v>7142857.1428571427</v>
      </c>
      <c r="L25" s="3">
        <v>275000000</v>
      </c>
      <c r="M25" s="3">
        <f t="shared" si="5"/>
        <v>350000000</v>
      </c>
    </row>
    <row r="26" spans="2:13" x14ac:dyDescent="0.3">
      <c r="B26" s="1" t="s">
        <v>20</v>
      </c>
      <c r="C26" s="1" t="s">
        <v>63</v>
      </c>
      <c r="D26" s="1" t="s">
        <v>72</v>
      </c>
      <c r="E26" s="1" t="s">
        <v>18</v>
      </c>
      <c r="F26" s="2">
        <v>44264</v>
      </c>
      <c r="G26" s="2">
        <v>44374</v>
      </c>
      <c r="H26" s="3">
        <v>14700000</v>
      </c>
      <c r="I26" s="4">
        <v>4.4000000000000004</v>
      </c>
      <c r="J26" s="5">
        <f t="shared" si="7"/>
        <v>8750000</v>
      </c>
      <c r="K26" s="5">
        <f t="shared" si="0"/>
        <v>3340909.0909090908</v>
      </c>
      <c r="L26" s="3">
        <v>38500000</v>
      </c>
      <c r="M26" s="3">
        <f t="shared" si="5"/>
        <v>53200000</v>
      </c>
    </row>
    <row r="27" spans="2:13" x14ac:dyDescent="0.3">
      <c r="B27" s="1" t="s">
        <v>21</v>
      </c>
      <c r="C27" s="1" t="s">
        <v>60</v>
      </c>
      <c r="D27" s="1" t="s">
        <v>78</v>
      </c>
      <c r="E27" s="1" t="s">
        <v>18</v>
      </c>
      <c r="F27" s="2">
        <v>44221</v>
      </c>
      <c r="G27" s="2">
        <v>44436</v>
      </c>
      <c r="H27" s="3">
        <v>8000000</v>
      </c>
      <c r="I27" s="4">
        <v>2</v>
      </c>
      <c r="J27" s="5">
        <f t="shared" si="7"/>
        <v>10000000</v>
      </c>
      <c r="K27" s="5">
        <f t="shared" si="0"/>
        <v>4000000</v>
      </c>
      <c r="L27" s="3">
        <v>20000000</v>
      </c>
      <c r="M27" s="3">
        <f t="shared" si="5"/>
        <v>28000000</v>
      </c>
    </row>
    <row r="28" spans="2:13" x14ac:dyDescent="0.3">
      <c r="B28" s="1" t="s">
        <v>22</v>
      </c>
      <c r="C28" s="1" t="s">
        <v>65</v>
      </c>
      <c r="D28" s="1" t="s">
        <v>72</v>
      </c>
      <c r="E28" s="1" t="s">
        <v>18</v>
      </c>
      <c r="F28" s="2">
        <v>44213</v>
      </c>
      <c r="G28" s="2">
        <v>44610</v>
      </c>
      <c r="H28" s="3">
        <v>30000000</v>
      </c>
      <c r="I28" s="4">
        <v>6.27</v>
      </c>
      <c r="J28" s="5">
        <f t="shared" si="7"/>
        <v>14194577.352472091</v>
      </c>
      <c r="K28" s="5">
        <f t="shared" si="0"/>
        <v>4784688.9952153116</v>
      </c>
      <c r="L28" s="3">
        <v>89000000</v>
      </c>
      <c r="M28" s="3">
        <f t="shared" si="5"/>
        <v>119000000</v>
      </c>
    </row>
    <row r="29" spans="2:13" x14ac:dyDescent="0.3">
      <c r="B29" s="1" t="s">
        <v>23</v>
      </c>
      <c r="C29" s="1" t="s">
        <v>64</v>
      </c>
      <c r="D29" s="1" t="s">
        <v>71</v>
      </c>
      <c r="E29" s="1" t="s">
        <v>18</v>
      </c>
      <c r="F29" s="2">
        <v>44196</v>
      </c>
      <c r="G29" s="2">
        <v>44651</v>
      </c>
      <c r="H29" s="3">
        <v>50000000</v>
      </c>
      <c r="I29" s="4">
        <v>1</v>
      </c>
      <c r="J29" s="5">
        <f t="shared" si="7"/>
        <v>75427000</v>
      </c>
      <c r="K29" s="5">
        <f t="shared" si="0"/>
        <v>50000000</v>
      </c>
      <c r="L29" s="3">
        <v>75427000</v>
      </c>
      <c r="M29" s="3">
        <f t="shared" si="5"/>
        <v>125427000</v>
      </c>
    </row>
    <row r="30" spans="2:13" x14ac:dyDescent="0.3">
      <c r="B30" s="1" t="s">
        <v>24</v>
      </c>
      <c r="C30" s="1" t="s">
        <v>67</v>
      </c>
      <c r="D30" s="1" t="s">
        <v>71</v>
      </c>
      <c r="E30" s="1" t="s">
        <v>18</v>
      </c>
      <c r="F30" s="2">
        <v>44179</v>
      </c>
      <c r="G30" s="2">
        <v>44544</v>
      </c>
      <c r="H30" s="3">
        <v>10000000</v>
      </c>
      <c r="I30" s="4">
        <v>12.5</v>
      </c>
      <c r="J30" s="5">
        <v>19478258</v>
      </c>
      <c r="K30" s="5">
        <f t="shared" si="0"/>
        <v>800000</v>
      </c>
      <c r="L30" s="3">
        <f>J30*I30</f>
        <v>243478225</v>
      </c>
      <c r="M30" s="3">
        <f t="shared" si="5"/>
        <v>253478225</v>
      </c>
    </row>
    <row r="31" spans="2:13" x14ac:dyDescent="0.3">
      <c r="B31" s="1" t="s">
        <v>25</v>
      </c>
      <c r="C31" s="1" t="s">
        <v>58</v>
      </c>
      <c r="D31" s="1" t="s">
        <v>71</v>
      </c>
      <c r="E31" s="1" t="s">
        <v>18</v>
      </c>
      <c r="F31" s="2">
        <v>44131</v>
      </c>
      <c r="G31" s="2">
        <v>44658</v>
      </c>
      <c r="H31" s="3">
        <v>50000000</v>
      </c>
      <c r="I31" s="4">
        <v>4.25</v>
      </c>
      <c r="J31" s="5">
        <f t="shared" si="7"/>
        <v>50047780.941176474</v>
      </c>
      <c r="K31" s="5">
        <f t="shared" si="0"/>
        <v>11764705.882352941</v>
      </c>
      <c r="L31" s="3">
        <v>212703069</v>
      </c>
      <c r="M31" s="3">
        <f t="shared" si="5"/>
        <v>262703069</v>
      </c>
    </row>
    <row r="32" spans="2:13" x14ac:dyDescent="0.3">
      <c r="B32" s="1" t="s">
        <v>26</v>
      </c>
      <c r="C32" s="1" t="s">
        <v>57</v>
      </c>
      <c r="D32" s="1" t="s">
        <v>71</v>
      </c>
      <c r="E32" s="1" t="s">
        <v>18</v>
      </c>
      <c r="F32" s="2">
        <v>44127</v>
      </c>
      <c r="G32" s="2">
        <v>44492</v>
      </c>
      <c r="H32" s="3">
        <v>46133806</v>
      </c>
      <c r="I32" s="4">
        <v>13.5</v>
      </c>
      <c r="J32" s="5">
        <f>15293500-K32</f>
        <v>11876181.037037037</v>
      </c>
      <c r="K32" s="5">
        <f t="shared" si="0"/>
        <v>3417318.9629629632</v>
      </c>
      <c r="L32" s="3">
        <f>J32*I32</f>
        <v>160328444</v>
      </c>
      <c r="M32" s="3">
        <f t="shared" si="5"/>
        <v>206462250</v>
      </c>
    </row>
    <row r="33" spans="2:13" x14ac:dyDescent="0.3">
      <c r="B33" s="1" t="s">
        <v>27</v>
      </c>
      <c r="C33" s="1" t="s">
        <v>57</v>
      </c>
      <c r="D33" s="1" t="s">
        <v>71</v>
      </c>
      <c r="E33" s="1" t="s">
        <v>18</v>
      </c>
      <c r="F33" s="2">
        <v>44082</v>
      </c>
      <c r="G33" s="2">
        <v>44447</v>
      </c>
      <c r="H33" s="3">
        <v>7000000</v>
      </c>
      <c r="I33" s="4">
        <v>2</v>
      </c>
      <c r="J33" s="5">
        <v>12917838</v>
      </c>
      <c r="K33" s="5">
        <f t="shared" si="0"/>
        <v>3500000</v>
      </c>
      <c r="L33" s="3">
        <f>J33*I33</f>
        <v>25835676</v>
      </c>
      <c r="M33" s="3">
        <f t="shared" si="5"/>
        <v>32835676</v>
      </c>
    </row>
    <row r="34" spans="2:13" x14ac:dyDescent="0.3">
      <c r="B34" s="1" t="s">
        <v>28</v>
      </c>
      <c r="C34" s="1" t="s">
        <v>64</v>
      </c>
      <c r="D34" s="1" t="s">
        <v>77</v>
      </c>
      <c r="E34" s="1" t="s">
        <v>18</v>
      </c>
      <c r="F34" s="2">
        <v>44022</v>
      </c>
      <c r="G34" s="2">
        <v>44316</v>
      </c>
      <c r="H34" s="3">
        <v>19000000</v>
      </c>
      <c r="I34" s="4">
        <v>2</v>
      </c>
      <c r="J34" s="5">
        <f t="shared" ref="J34:J35" si="8">L34/I34</f>
        <v>23350500</v>
      </c>
      <c r="K34" s="5">
        <f t="shared" si="0"/>
        <v>9500000</v>
      </c>
      <c r="L34" s="3">
        <v>46701000</v>
      </c>
      <c r="M34" s="3">
        <f t="shared" si="5"/>
        <v>65701000</v>
      </c>
    </row>
    <row r="35" spans="2:13" x14ac:dyDescent="0.3">
      <c r="B35" s="1" t="s">
        <v>29</v>
      </c>
      <c r="C35" s="1" t="s">
        <v>59</v>
      </c>
      <c r="D35" s="1" t="s">
        <v>71</v>
      </c>
      <c r="E35" s="1" t="s">
        <v>18</v>
      </c>
      <c r="F35" s="2">
        <v>43952</v>
      </c>
      <c r="G35" s="2">
        <v>44428</v>
      </c>
      <c r="H35" s="3">
        <v>10000000</v>
      </c>
      <c r="I35" s="4">
        <v>1</v>
      </c>
      <c r="J35" s="5">
        <f t="shared" si="8"/>
        <v>37595931</v>
      </c>
      <c r="K35" s="5">
        <f t="shared" si="0"/>
        <v>10000000</v>
      </c>
      <c r="L35" s="3">
        <v>37595931</v>
      </c>
      <c r="M35" s="3">
        <f t="shared" si="5"/>
        <v>47595931</v>
      </c>
    </row>
    <row r="36" spans="2:13" x14ac:dyDescent="0.3">
      <c r="B36" s="1" t="s">
        <v>30</v>
      </c>
      <c r="C36" s="1" t="s">
        <v>59</v>
      </c>
      <c r="D36" s="1" t="s">
        <v>71</v>
      </c>
      <c r="E36" s="1" t="s">
        <v>18</v>
      </c>
      <c r="F36" s="2">
        <v>43951</v>
      </c>
      <c r="G36" s="2">
        <v>44286</v>
      </c>
      <c r="H36" s="3">
        <v>50000000</v>
      </c>
      <c r="I36" s="4">
        <v>8</v>
      </c>
      <c r="J36" s="5">
        <v>22065147</v>
      </c>
      <c r="K36" s="5">
        <f t="shared" si="0"/>
        <v>6250000</v>
      </c>
      <c r="L36" s="3">
        <f>J36*I36</f>
        <v>176521176</v>
      </c>
      <c r="M36" s="3">
        <f t="shared" si="5"/>
        <v>226521176</v>
      </c>
    </row>
    <row r="37" spans="2:13" x14ac:dyDescent="0.3">
      <c r="B37" s="1" t="s">
        <v>31</v>
      </c>
      <c r="C37" s="1" t="s">
        <v>57</v>
      </c>
      <c r="D37" s="1" t="s">
        <v>79</v>
      </c>
      <c r="E37" s="1" t="s">
        <v>18</v>
      </c>
      <c r="F37" s="2">
        <v>43863</v>
      </c>
      <c r="G37" s="2">
        <v>44058</v>
      </c>
      <c r="H37" s="3">
        <v>15000000</v>
      </c>
      <c r="I37" s="4">
        <v>3</v>
      </c>
      <c r="J37" s="5">
        <f>L37/I37</f>
        <v>88666666.666666672</v>
      </c>
      <c r="K37" s="5">
        <f t="shared" si="0"/>
        <v>5000000</v>
      </c>
      <c r="L37" s="3">
        <v>266000000</v>
      </c>
      <c r="M37" s="3">
        <f t="shared" si="5"/>
        <v>281000000</v>
      </c>
    </row>
    <row r="38" spans="2:13" x14ac:dyDescent="0.3">
      <c r="B38" s="1" t="s">
        <v>32</v>
      </c>
      <c r="C38" s="1" t="s">
        <v>59</v>
      </c>
      <c r="D38" s="1" t="s">
        <v>71</v>
      </c>
      <c r="E38" s="1" t="s">
        <v>18</v>
      </c>
      <c r="F38" s="2">
        <v>43697</v>
      </c>
      <c r="G38" s="2">
        <v>44063</v>
      </c>
      <c r="H38" s="3">
        <v>49875000</v>
      </c>
      <c r="I38" s="4">
        <v>0.5</v>
      </c>
      <c r="J38" s="5">
        <v>90298808</v>
      </c>
      <c r="K38" s="5">
        <f t="shared" si="0"/>
        <v>99750000</v>
      </c>
      <c r="L38" s="3">
        <f>J38*I38</f>
        <v>45149404</v>
      </c>
      <c r="M38" s="3">
        <f t="shared" si="5"/>
        <v>95024404</v>
      </c>
    </row>
    <row r="39" spans="2:13" x14ac:dyDescent="0.3">
      <c r="B39" s="1" t="s">
        <v>19</v>
      </c>
      <c r="C39" s="1" t="s">
        <v>66</v>
      </c>
      <c r="D39" s="1" t="s">
        <v>77</v>
      </c>
      <c r="E39" s="1" t="s">
        <v>18</v>
      </c>
      <c r="F39" s="2">
        <v>43691</v>
      </c>
      <c r="G39" s="2">
        <v>44001</v>
      </c>
      <c r="H39" s="3">
        <v>20000001</v>
      </c>
      <c r="I39" s="4">
        <v>3.4477000000000002</v>
      </c>
      <c r="J39" s="5">
        <f t="shared" ref="J39:J40" si="9">L39/I39</f>
        <v>18853148.475795455</v>
      </c>
      <c r="K39" s="5">
        <f t="shared" si="0"/>
        <v>5800969.0518316552</v>
      </c>
      <c r="L39" s="3">
        <v>65000000</v>
      </c>
      <c r="M39" s="3">
        <f t="shared" si="5"/>
        <v>85000001</v>
      </c>
    </row>
    <row r="40" spans="2:13" x14ac:dyDescent="0.3">
      <c r="B40" s="1" t="s">
        <v>22</v>
      </c>
      <c r="C40" s="1" t="s">
        <v>65</v>
      </c>
      <c r="D40" s="1" t="s">
        <v>77</v>
      </c>
      <c r="E40" s="1" t="s">
        <v>18</v>
      </c>
      <c r="F40" s="2">
        <v>43537</v>
      </c>
      <c r="G40" s="2">
        <v>43921</v>
      </c>
      <c r="H40" s="3">
        <v>20000000</v>
      </c>
      <c r="I40" s="4">
        <v>4</v>
      </c>
      <c r="J40" s="5">
        <f t="shared" si="9"/>
        <v>5312500</v>
      </c>
      <c r="K40" s="5">
        <f t="shared" si="0"/>
        <v>5000000</v>
      </c>
      <c r="L40" s="3">
        <v>21250000</v>
      </c>
      <c r="M40" s="3">
        <f t="shared" si="5"/>
        <v>41250000</v>
      </c>
    </row>
    <row r="41" spans="2:13" x14ac:dyDescent="0.3">
      <c r="B41" s="1" t="s">
        <v>19</v>
      </c>
      <c r="C41" s="1" t="s">
        <v>66</v>
      </c>
      <c r="D41" s="1" t="s">
        <v>77</v>
      </c>
      <c r="E41" s="1" t="s">
        <v>18</v>
      </c>
      <c r="F41" s="2">
        <v>43119</v>
      </c>
      <c r="G41" s="2">
        <v>43281</v>
      </c>
      <c r="H41" s="3">
        <v>7000000</v>
      </c>
      <c r="I41" s="4">
        <v>2</v>
      </c>
      <c r="J41" s="5">
        <f t="shared" ref="J41" si="10">L41/I41</f>
        <v>10000000</v>
      </c>
      <c r="K41" s="5">
        <f t="shared" si="0"/>
        <v>3500000</v>
      </c>
      <c r="L41" s="3">
        <v>20000000</v>
      </c>
      <c r="M41" s="3">
        <f t="shared" ref="M41:M43" si="11">L41+H41</f>
        <v>27000000</v>
      </c>
    </row>
    <row r="42" spans="2:13" x14ac:dyDescent="0.3">
      <c r="B42" s="1" t="s">
        <v>47</v>
      </c>
      <c r="C42" s="1" t="s">
        <v>58</v>
      </c>
      <c r="D42" s="1" t="s">
        <v>42</v>
      </c>
      <c r="E42" s="1" t="s">
        <v>49</v>
      </c>
      <c r="F42" s="2" t="s">
        <v>42</v>
      </c>
      <c r="G42" s="2" t="s">
        <v>42</v>
      </c>
      <c r="H42" s="3">
        <v>27500000</v>
      </c>
      <c r="I42" s="4">
        <f>H42/K42</f>
        <v>11</v>
      </c>
      <c r="J42" s="5">
        <v>13863636</v>
      </c>
      <c r="K42" s="5">
        <v>2500000</v>
      </c>
      <c r="L42" s="3">
        <f>J42*I42</f>
        <v>152499996</v>
      </c>
      <c r="M42" s="3">
        <f t="shared" si="11"/>
        <v>179999996</v>
      </c>
    </row>
    <row r="43" spans="2:13" x14ac:dyDescent="0.3">
      <c r="B43" s="1" t="s">
        <v>50</v>
      </c>
      <c r="C43" s="1" t="s">
        <v>61</v>
      </c>
      <c r="D43" s="1" t="s">
        <v>42</v>
      </c>
      <c r="E43" s="1" t="s">
        <v>49</v>
      </c>
      <c r="F43" s="2" t="s">
        <v>42</v>
      </c>
      <c r="G43" s="2" t="s">
        <v>42</v>
      </c>
      <c r="H43" s="3">
        <f>K43*I43</f>
        <v>4050000</v>
      </c>
      <c r="I43" s="4">
        <v>7.4999999999999997E-3</v>
      </c>
      <c r="J43" s="5">
        <f>954402837+5000000+500000</f>
        <v>959902837</v>
      </c>
      <c r="K43" s="5">
        <v>540000000</v>
      </c>
      <c r="L43" s="3">
        <f>J43*I43</f>
        <v>7199271.2774999999</v>
      </c>
      <c r="M43" s="3">
        <f t="shared" si="11"/>
        <v>11249271.2775</v>
      </c>
    </row>
    <row r="44" spans="2:13" x14ac:dyDescent="0.3">
      <c r="B44" s="1" t="s">
        <v>48</v>
      </c>
      <c r="C44" s="1" t="s">
        <v>64</v>
      </c>
      <c r="D44" s="1" t="s">
        <v>42</v>
      </c>
      <c r="E44" s="1" t="s">
        <v>49</v>
      </c>
      <c r="F44" s="2" t="s">
        <v>42</v>
      </c>
      <c r="G44" s="2" t="s">
        <v>42</v>
      </c>
      <c r="H44" s="3">
        <v>20000000</v>
      </c>
      <c r="I44" s="4">
        <v>0.2</v>
      </c>
      <c r="J44" s="5">
        <v>914591800</v>
      </c>
      <c r="K44" s="5">
        <f t="shared" ref="K44:K45" si="12">H44/I44</f>
        <v>100000000</v>
      </c>
      <c r="L44" s="3">
        <f t="shared" ref="L44" si="13">I44*J44</f>
        <v>182918360</v>
      </c>
      <c r="M44" s="3">
        <f t="shared" ref="M44" si="14">L44+H44</f>
        <v>202918360</v>
      </c>
    </row>
    <row r="45" spans="2:13" x14ac:dyDescent="0.3">
      <c r="B45" s="1" t="s">
        <v>51</v>
      </c>
      <c r="C45" s="1" t="s">
        <v>59</v>
      </c>
      <c r="D45" s="1" t="s">
        <v>81</v>
      </c>
      <c r="E45" s="1" t="s">
        <v>49</v>
      </c>
      <c r="F45" s="2" t="s">
        <v>42</v>
      </c>
      <c r="G45" s="2" t="s">
        <v>42</v>
      </c>
      <c r="H45" s="3">
        <v>7500000</v>
      </c>
      <c r="I45" s="4">
        <v>0.02</v>
      </c>
      <c r="J45" s="5">
        <v>90395596</v>
      </c>
      <c r="K45" s="5">
        <f t="shared" si="12"/>
        <v>375000000</v>
      </c>
      <c r="L45" s="3">
        <f t="shared" ref="L45" si="15">I45*J45</f>
        <v>1807911.92</v>
      </c>
      <c r="M45" s="3">
        <f t="shared" ref="M45" si="16">L45+H45</f>
        <v>9307911.9199999999</v>
      </c>
    </row>
    <row r="46" spans="2:13" x14ac:dyDescent="0.3">
      <c r="B46" s="1" t="s">
        <v>52</v>
      </c>
      <c r="C46" s="1" t="s">
        <v>59</v>
      </c>
      <c r="D46" s="1" t="s">
        <v>42</v>
      </c>
      <c r="E46" s="1" t="s">
        <v>49</v>
      </c>
      <c r="F46" s="2" t="s">
        <v>42</v>
      </c>
      <c r="G46" s="2" t="s">
        <v>42</v>
      </c>
      <c r="H46" s="3">
        <v>12000000</v>
      </c>
      <c r="I46" s="4">
        <f t="shared" ref="I46:I47" si="17">H46/K46</f>
        <v>4</v>
      </c>
      <c r="J46" s="5">
        <v>37022864</v>
      </c>
      <c r="K46" s="5">
        <v>3000000</v>
      </c>
      <c r="L46" s="3">
        <f t="shared" ref="L46:L47" si="18">I46*J46</f>
        <v>148091456</v>
      </c>
      <c r="M46" s="3">
        <f t="shared" ref="M46:M47" si="19">L46+H46</f>
        <v>160091456</v>
      </c>
    </row>
    <row r="47" spans="2:13" x14ac:dyDescent="0.3">
      <c r="B47" s="1" t="s">
        <v>53</v>
      </c>
      <c r="C47" s="1" t="s">
        <v>57</v>
      </c>
      <c r="D47" s="1" t="s">
        <v>42</v>
      </c>
      <c r="E47" s="1" t="s">
        <v>49</v>
      </c>
      <c r="F47" s="2" t="s">
        <v>42</v>
      </c>
      <c r="G47" s="2" t="s">
        <v>42</v>
      </c>
      <c r="H47" s="3">
        <v>9500000</v>
      </c>
      <c r="I47" s="4">
        <f t="shared" si="17"/>
        <v>9.5</v>
      </c>
      <c r="J47" s="5">
        <v>14577597</v>
      </c>
      <c r="K47" s="5">
        <v>1000000</v>
      </c>
      <c r="L47" s="3">
        <f t="shared" si="18"/>
        <v>138487171.5</v>
      </c>
      <c r="M47" s="3">
        <f t="shared" si="19"/>
        <v>147987171.5</v>
      </c>
    </row>
    <row r="49" spans="2:4" x14ac:dyDescent="0.3">
      <c r="B49" s="8" t="s">
        <v>55</v>
      </c>
      <c r="C49" s="8"/>
      <c r="D49" s="8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Valuation Methodology</vt:lpstr>
      <vt:lpstr>RegA+ Offerings and Valuations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Quinn Foley</dc:creator>
  <cp:lastModifiedBy>brock</cp:lastModifiedBy>
  <dcterms:created xsi:type="dcterms:W3CDTF">2022-05-29T16:01:02Z</dcterms:created>
  <dcterms:modified xsi:type="dcterms:W3CDTF">2022-10-21T20:33:45Z</dcterms:modified>
</cp:coreProperties>
</file>