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miche\Downloads\"/>
    </mc:Choice>
  </mc:AlternateContent>
  <xr:revisionPtr revIDLastSave="0" documentId="8_{32B58C6F-8CD4-4CB6-83A4-C32C3BF8AE38}" xr6:coauthVersionLast="47" xr6:coauthVersionMax="47" xr10:uidLastSave="{00000000-0000-0000-0000-000000000000}"/>
  <bookViews>
    <workbookView xWindow="-108" yWindow="-108" windowWidth="23256" windowHeight="12456" tabRatio="730" activeTab="5" xr2:uid="{00000000-000D-0000-FFFF-FFFF00000000}"/>
  </bookViews>
  <sheets>
    <sheet name="Capital &amp; Cash Flow" sheetId="1" r:id="rId1"/>
    <sheet name="Returns Analysis" sheetId="5" r:id="rId2"/>
    <sheet name="Assumptions" sheetId="4" r:id="rId3"/>
    <sheet name="Investor Acquisition Detail" sheetId="6" r:id="rId4"/>
    <sheet name="Disclaimer" sheetId="7" r:id="rId5"/>
    <sheet name="Filing Info" sheetId="8" r:id="rId6"/>
  </sheets>
  <definedNames>
    <definedName name="solver_adj" localSheetId="2" hidden="1">Assumptions!$B$14,Assumptions!$B$16</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lhs1" localSheetId="2" hidden="1">Assumptions!$L$16</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1</definedName>
    <definedName name="solver_nwt" localSheetId="2" hidden="1">1</definedName>
    <definedName name="solver_opt" localSheetId="2" hidden="1">Assumptions!$N$16</definedName>
    <definedName name="solver_pre" localSheetId="2" hidden="1">0.000001</definedName>
    <definedName name="solver_rbv" localSheetId="2" hidden="1">1</definedName>
    <definedName name="solver_rel1" localSheetId="2" hidden="1">2</definedName>
    <definedName name="solver_rhs1" localSheetId="2" hidden="1">10*Assumptions!$B$16</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1</definedName>
    <definedName name="solver_ver" localSheetId="2" hidden="1">3</definedName>
  </definedNames>
  <calcPr calcId="191029"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7" i="1" l="1"/>
  <c r="T17" i="1"/>
  <c r="T18" i="1"/>
  <c r="G17" i="1"/>
  <c r="G18" i="1"/>
  <c r="T14" i="1" l="1"/>
  <c r="T15" i="1"/>
  <c r="T16" i="1"/>
  <c r="U16" i="1" s="1"/>
  <c r="G14" i="1"/>
  <c r="G15" i="1"/>
  <c r="U15" i="1" s="1"/>
  <c r="G16" i="1"/>
  <c r="T11" i="1"/>
  <c r="U11" i="1" s="1"/>
  <c r="T12" i="1"/>
  <c r="G11" i="1"/>
  <c r="G12" i="1"/>
  <c r="G28" i="1"/>
  <c r="T21" i="1"/>
  <c r="G20" i="1"/>
  <c r="G21" i="1"/>
  <c r="G27" i="1"/>
  <c r="E3" i="4"/>
  <c r="B20" i="1"/>
  <c r="B18" i="4"/>
  <c r="C18" i="4"/>
  <c r="D18" i="4"/>
  <c r="E18" i="4"/>
  <c r="F18" i="4"/>
  <c r="G18" i="4"/>
  <c r="H18" i="4"/>
  <c r="I18" i="4"/>
  <c r="J18" i="4"/>
  <c r="K18" i="4"/>
  <c r="L18" i="4"/>
  <c r="M18" i="4"/>
  <c r="S29" i="1"/>
  <c r="R29" i="1"/>
  <c r="Q29" i="1"/>
  <c r="P29" i="1"/>
  <c r="O29" i="1"/>
  <c r="N29" i="1"/>
  <c r="M29" i="1"/>
  <c r="L29" i="1"/>
  <c r="K29" i="1"/>
  <c r="J29" i="1"/>
  <c r="I29" i="1"/>
  <c r="F29" i="1"/>
  <c r="E29" i="1"/>
  <c r="D29" i="1"/>
  <c r="C29" i="1"/>
  <c r="U14" i="1" l="1"/>
  <c r="U12" i="1"/>
  <c r="U21" i="1"/>
  <c r="B7" i="6"/>
  <c r="T10" i="1" l="1"/>
  <c r="T13" i="1"/>
  <c r="T19" i="1"/>
  <c r="T22" i="1"/>
  <c r="T23" i="1"/>
  <c r="T26" i="1"/>
  <c r="T31" i="1"/>
  <c r="G10" i="1"/>
  <c r="G13" i="1"/>
  <c r="G19" i="1"/>
  <c r="G23" i="1"/>
  <c r="G24" i="1"/>
  <c r="G25" i="1"/>
  <c r="G26" i="1"/>
  <c r="G30" i="1"/>
  <c r="G31" i="1"/>
  <c r="U10" i="1" l="1"/>
  <c r="U19" i="1"/>
  <c r="U31" i="1"/>
  <c r="U13" i="1"/>
  <c r="U26" i="1"/>
  <c r="U23" i="1"/>
  <c r="S32" i="1"/>
  <c r="R32" i="1"/>
  <c r="Q32" i="1"/>
  <c r="P32" i="1"/>
  <c r="O32" i="1"/>
  <c r="N32" i="1"/>
  <c r="M32" i="1"/>
  <c r="L32" i="1"/>
  <c r="K32" i="1"/>
  <c r="J32" i="1"/>
  <c r="I32" i="1"/>
  <c r="H32" i="1"/>
  <c r="F32" i="1"/>
  <c r="E32" i="1"/>
  <c r="D32" i="1"/>
  <c r="C32" i="1"/>
  <c r="G32" i="1" l="1"/>
  <c r="T32" i="1"/>
  <c r="U32" i="1" s="1"/>
  <c r="B5" i="6"/>
  <c r="A2" i="6" l="1"/>
  <c r="A1" i="6"/>
  <c r="B1" i="6"/>
  <c r="B51" i="6"/>
  <c r="B53" i="6" s="1"/>
  <c r="B55" i="6" s="1"/>
  <c r="B46" i="6"/>
  <c r="B36" i="6" l="1"/>
  <c r="B37" i="6"/>
  <c r="F22" i="1" l="1"/>
  <c r="G22" i="1" s="1"/>
  <c r="U22" i="1" s="1"/>
  <c r="G29" i="1" l="1"/>
  <c r="T29" i="1"/>
  <c r="F33" i="1"/>
  <c r="C33" i="1"/>
  <c r="D33" i="1"/>
  <c r="E33" i="1"/>
  <c r="U29" i="1" l="1"/>
  <c r="M16" i="4"/>
  <c r="L16" i="4"/>
  <c r="K16" i="4"/>
  <c r="J16" i="4"/>
  <c r="I16" i="4"/>
  <c r="H16" i="4"/>
  <c r="G16" i="4"/>
  <c r="F16" i="4"/>
  <c r="E16" i="4"/>
  <c r="D16" i="4"/>
  <c r="C16" i="4"/>
  <c r="N16" i="4" l="1"/>
  <c r="B5" i="1" l="1"/>
  <c r="B2" i="6" s="1"/>
  <c r="B3" i="6" l="1"/>
  <c r="B4" i="6" s="1"/>
  <c r="B56" i="6"/>
  <c r="C37" i="6"/>
  <c r="C36" i="6"/>
  <c r="P7" i="1"/>
  <c r="P24" i="1" s="1"/>
  <c r="L7" i="1"/>
  <c r="L24" i="1" s="1"/>
  <c r="H7" i="1"/>
  <c r="H24" i="1" s="1"/>
  <c r="O7" i="1"/>
  <c r="O24" i="1" s="1"/>
  <c r="K7" i="1"/>
  <c r="K24" i="1" s="1"/>
  <c r="R7" i="1"/>
  <c r="R24" i="1" s="1"/>
  <c r="N7" i="1"/>
  <c r="N24" i="1" s="1"/>
  <c r="J7" i="1"/>
  <c r="J24" i="1" s="1"/>
  <c r="Q7" i="1"/>
  <c r="Q24" i="1" s="1"/>
  <c r="M7" i="1"/>
  <c r="M24" i="1" s="1"/>
  <c r="I7" i="1"/>
  <c r="I24" i="1" s="1"/>
  <c r="B38" i="6" l="1"/>
  <c r="C38" i="6" s="1"/>
  <c r="B39" i="6"/>
  <c r="B59" i="6" s="1"/>
  <c r="B62" i="6" s="1"/>
  <c r="Q43" i="1"/>
  <c r="K43" i="1"/>
  <c r="P43" i="1"/>
  <c r="I43" i="1"/>
  <c r="N43" i="1"/>
  <c r="H43" i="1"/>
  <c r="M43" i="1"/>
  <c r="R43" i="1"/>
  <c r="L43" i="1"/>
  <c r="J43" i="1"/>
  <c r="O43" i="1"/>
  <c r="S7" i="1"/>
  <c r="H20" i="4" l="1"/>
  <c r="H21" i="4"/>
  <c r="H19" i="4"/>
  <c r="J20" i="4"/>
  <c r="J21" i="4"/>
  <c r="J19" i="4"/>
  <c r="I20" i="4"/>
  <c r="I21" i="4"/>
  <c r="I19" i="4"/>
  <c r="F21" i="4"/>
  <c r="F19" i="4"/>
  <c r="F20" i="4"/>
  <c r="K21" i="4"/>
  <c r="K19" i="4"/>
  <c r="K20" i="4"/>
  <c r="D21" i="4"/>
  <c r="D19" i="4"/>
  <c r="D20" i="4"/>
  <c r="B19" i="4"/>
  <c r="B20" i="4"/>
  <c r="B21" i="4"/>
  <c r="C21" i="4"/>
  <c r="C19" i="4"/>
  <c r="C20" i="4"/>
  <c r="E21" i="4"/>
  <c r="E19" i="4"/>
  <c r="E20" i="4"/>
  <c r="L21" i="4"/>
  <c r="L19" i="4"/>
  <c r="L20" i="4"/>
  <c r="G20" i="4"/>
  <c r="G21" i="4"/>
  <c r="G19" i="4"/>
  <c r="B71" i="6"/>
  <c r="B74" i="6" s="1"/>
  <c r="B77" i="6" s="1"/>
  <c r="C71" i="6"/>
  <c r="C74" i="6" s="1"/>
  <c r="C75" i="6" s="1"/>
  <c r="C77" i="6" s="1"/>
  <c r="B28" i="6" s="1"/>
  <c r="C39" i="6"/>
  <c r="B40" i="6"/>
  <c r="C40" i="6" s="1"/>
  <c r="E62" i="6"/>
  <c r="B64" i="6"/>
  <c r="B66" i="6" s="1"/>
  <c r="S24" i="1"/>
  <c r="T24" i="1" s="1"/>
  <c r="U24" i="1" s="1"/>
  <c r="J20" i="1"/>
  <c r="J28" i="1" s="1"/>
  <c r="J27" i="1"/>
  <c r="R20" i="1"/>
  <c r="R28" i="1" s="1"/>
  <c r="R27" i="1"/>
  <c r="H20" i="1"/>
  <c r="H28" i="1" s="1"/>
  <c r="H27" i="1"/>
  <c r="I20" i="1"/>
  <c r="I28" i="1" s="1"/>
  <c r="I27" i="1"/>
  <c r="K20" i="1"/>
  <c r="K28" i="1" s="1"/>
  <c r="K27" i="1"/>
  <c r="S43" i="1"/>
  <c r="O20" i="1"/>
  <c r="O28" i="1" s="1"/>
  <c r="O27" i="1"/>
  <c r="L20" i="1"/>
  <c r="L28" i="1" s="1"/>
  <c r="L27" i="1"/>
  <c r="M20" i="1"/>
  <c r="M28" i="1" s="1"/>
  <c r="M27" i="1"/>
  <c r="N20" i="1"/>
  <c r="N28" i="1" s="1"/>
  <c r="N27" i="1"/>
  <c r="P20" i="1"/>
  <c r="P28" i="1" s="1"/>
  <c r="P27" i="1"/>
  <c r="Q20" i="1"/>
  <c r="Q28" i="1" s="1"/>
  <c r="Q27" i="1"/>
  <c r="B75" i="6" l="1"/>
  <c r="M20" i="4"/>
  <c r="N20" i="4" s="1"/>
  <c r="M21" i="4"/>
  <c r="N21" i="4" s="1"/>
  <c r="M19" i="4"/>
  <c r="N19" i="4" s="1"/>
  <c r="C78" i="6"/>
  <c r="C79" i="6" s="1"/>
  <c r="B35" i="6"/>
  <c r="B27" i="6"/>
  <c r="B78" i="6"/>
  <c r="B79" i="6" s="1"/>
  <c r="B67" i="6"/>
  <c r="B68" i="6" s="1"/>
  <c r="B25" i="6"/>
  <c r="S20" i="1"/>
  <c r="T20" i="1" s="1"/>
  <c r="U20" i="1" s="1"/>
  <c r="S27" i="1"/>
  <c r="T27" i="1" s="1"/>
  <c r="U27" i="1" s="1"/>
  <c r="H45" i="1"/>
  <c r="H25" i="1" s="1"/>
  <c r="U7" i="1"/>
  <c r="D6" i="5"/>
  <c r="F45" i="1"/>
  <c r="G8" i="5" s="1"/>
  <c r="E45" i="1"/>
  <c r="F8" i="5" s="1"/>
  <c r="D45" i="1"/>
  <c r="E8" i="5" s="1"/>
  <c r="C45" i="1"/>
  <c r="D8" i="5" s="1"/>
  <c r="T44" i="1"/>
  <c r="G44" i="1"/>
  <c r="G45" i="1" s="1"/>
  <c r="S45" i="1"/>
  <c r="S25" i="1" s="1"/>
  <c r="R45" i="1"/>
  <c r="R25" i="1" s="1"/>
  <c r="Q45" i="1"/>
  <c r="Q25" i="1" s="1"/>
  <c r="P45" i="1"/>
  <c r="P25" i="1" s="1"/>
  <c r="O45" i="1"/>
  <c r="O25" i="1" s="1"/>
  <c r="N45" i="1"/>
  <c r="N25" i="1" s="1"/>
  <c r="M45" i="1"/>
  <c r="M25" i="1" s="1"/>
  <c r="L45" i="1"/>
  <c r="L25" i="1" s="1"/>
  <c r="K45" i="1"/>
  <c r="K25" i="1" s="1"/>
  <c r="J45" i="1"/>
  <c r="J25" i="1" s="1"/>
  <c r="I45" i="1"/>
  <c r="I25" i="1" s="1"/>
  <c r="G6" i="5"/>
  <c r="F6" i="5"/>
  <c r="E6" i="5"/>
  <c r="T9" i="1"/>
  <c r="G9" i="1"/>
  <c r="S28" i="1" l="1"/>
  <c r="T28" i="1" s="1"/>
  <c r="U28" i="1" s="1"/>
  <c r="T25" i="1"/>
  <c r="U25" i="1" s="1"/>
  <c r="B29" i="6"/>
  <c r="B30" i="6" s="1"/>
  <c r="C30" i="6" s="1"/>
  <c r="G33" i="1"/>
  <c r="L8" i="5"/>
  <c r="I8" i="5"/>
  <c r="K8" i="5"/>
  <c r="O8" i="5"/>
  <c r="S8" i="5"/>
  <c r="P8" i="5"/>
  <c r="H8" i="5"/>
  <c r="M8" i="5"/>
  <c r="Q8" i="5"/>
  <c r="J8" i="5"/>
  <c r="N8" i="5"/>
  <c r="R8" i="5"/>
  <c r="D47" i="1"/>
  <c r="E10" i="5" s="1"/>
  <c r="U9" i="1"/>
  <c r="C47" i="1"/>
  <c r="E47" i="1"/>
  <c r="F10" i="5" s="1"/>
  <c r="T43" i="1"/>
  <c r="U43" i="1" s="1"/>
  <c r="U44" i="1"/>
  <c r="F47" i="1"/>
  <c r="G10" i="5" s="1"/>
  <c r="M30" i="1" l="1"/>
  <c r="O30" i="1"/>
  <c r="J30" i="1"/>
  <c r="H30" i="1"/>
  <c r="Q30" i="1"/>
  <c r="R30" i="1"/>
  <c r="K30" i="1"/>
  <c r="N30" i="1"/>
  <c r="P30" i="1"/>
  <c r="L30" i="1"/>
  <c r="I30" i="1"/>
  <c r="S30" i="1"/>
  <c r="C8" i="5"/>
  <c r="C48" i="1"/>
  <c r="D48" i="1" s="1"/>
  <c r="E48" i="1" s="1"/>
  <c r="F48" i="1" s="1"/>
  <c r="G48" i="1" s="1"/>
  <c r="D10" i="5"/>
  <c r="T45" i="1"/>
  <c r="U45" i="1"/>
  <c r="T30" i="1" l="1"/>
  <c r="U30" i="1" s="1"/>
  <c r="L33" i="1"/>
  <c r="P33" i="1"/>
  <c r="H33" i="1"/>
  <c r="I33" i="1"/>
  <c r="M33" i="1"/>
  <c r="Q33" i="1"/>
  <c r="O33" i="1"/>
  <c r="J33" i="1"/>
  <c r="N33" i="1"/>
  <c r="R33" i="1"/>
  <c r="K33" i="1"/>
  <c r="S33" i="1"/>
  <c r="F5" i="1" l="1"/>
  <c r="G50" i="1" s="1"/>
  <c r="H47" i="1"/>
  <c r="H6" i="5"/>
  <c r="S47" i="1"/>
  <c r="S10" i="5" s="1"/>
  <c r="S6" i="5"/>
  <c r="L47" i="1" l="1"/>
  <c r="L10" i="5" s="1"/>
  <c r="L6" i="5"/>
  <c r="R47" i="1"/>
  <c r="R10" i="5" s="1"/>
  <c r="R6" i="5"/>
  <c r="N47" i="1"/>
  <c r="N10" i="5" s="1"/>
  <c r="N6" i="5"/>
  <c r="J47" i="1"/>
  <c r="J10" i="5" s="1"/>
  <c r="J6" i="5"/>
  <c r="P47" i="1"/>
  <c r="P10" i="5" s="1"/>
  <c r="P6" i="5"/>
  <c r="Q47" i="1"/>
  <c r="Q10" i="5" s="1"/>
  <c r="Q6" i="5"/>
  <c r="O47" i="1"/>
  <c r="O10" i="5" s="1"/>
  <c r="O6" i="5"/>
  <c r="I47" i="1"/>
  <c r="I6" i="5"/>
  <c r="K47" i="1"/>
  <c r="K10" i="5" s="1"/>
  <c r="K6" i="5"/>
  <c r="M47" i="1"/>
  <c r="M10" i="5" s="1"/>
  <c r="M6" i="5"/>
  <c r="H48" i="1"/>
  <c r="H10" i="5"/>
  <c r="T33" i="1"/>
  <c r="C6" i="5" l="1"/>
  <c r="C13" i="5" s="1"/>
  <c r="I48" i="1"/>
  <c r="J48" i="1" s="1"/>
  <c r="K48" i="1" s="1"/>
  <c r="L48" i="1" s="1"/>
  <c r="M48" i="1" s="1"/>
  <c r="N48" i="1" s="1"/>
  <c r="O48" i="1" s="1"/>
  <c r="P48" i="1" s="1"/>
  <c r="Q48" i="1" s="1"/>
  <c r="R48" i="1" s="1"/>
  <c r="S48" i="1" s="1"/>
  <c r="I10" i="5"/>
  <c r="C11" i="5" s="1"/>
  <c r="U33" i="1"/>
  <c r="B31" i="6" s="1"/>
  <c r="C31" i="6" s="1"/>
  <c r="C12" i="5" l="1"/>
  <c r="C10" i="5"/>
  <c r="U48" i="1"/>
  <c r="F3" i="1" s="1"/>
  <c r="F4" i="1" s="1"/>
</calcChain>
</file>

<file path=xl/sharedStrings.xml><?xml version="1.0" encoding="utf-8"?>
<sst xmlns="http://schemas.openxmlformats.org/spreadsheetml/2006/main" count="202" uniqueCount="175">
  <si>
    <t>MONTHLY TIMELINE</t>
  </si>
  <si>
    <t>* The Initial efficiency of marketing will most likely be lower in the early weeks while the campaign is being tuned. We will constantly drive to achieve maximum conversion efficiency.</t>
  </si>
  <si>
    <t xml:space="preserve">** Cash payments to MSC have warrant coverage at the initial investor price. </t>
  </si>
  <si>
    <t xml:space="preserve">*** If you choose to accept debit card and credit card investments there will be a 3% fee paid to the credit card processor. You may elect to pay this or have this paid by the investor. </t>
  </si>
  <si>
    <t xml:space="preserve">Note that marketing $ are estimates.  We expect that capital raised will exceed marketing spend from the first month live to investors. </t>
  </si>
  <si>
    <t>MONTH 5</t>
  </si>
  <si>
    <t>MONTH 6</t>
  </si>
  <si>
    <t>MONTH 7</t>
  </si>
  <si>
    <t>MONTH 8</t>
  </si>
  <si>
    <t>MONTH 9</t>
  </si>
  <si>
    <t>MONTH 10</t>
  </si>
  <si>
    <t>MONTH 11</t>
  </si>
  <si>
    <t>MONTH 12</t>
  </si>
  <si>
    <t>MONTH 13</t>
  </si>
  <si>
    <t>MONTH 14</t>
  </si>
  <si>
    <t>MONTH 15</t>
  </si>
  <si>
    <t>MONTH 16</t>
  </si>
  <si>
    <t>Target capital raise</t>
  </si>
  <si>
    <t>Target # investors</t>
  </si>
  <si>
    <t>TOTAL COSTS</t>
  </si>
  <si>
    <t>Prepared for</t>
  </si>
  <si>
    <t>Prepared by</t>
  </si>
  <si>
    <t>TOTAL INFLOWS</t>
  </si>
  <si>
    <t>Inflows</t>
  </si>
  <si>
    <t>Investments</t>
  </si>
  <si>
    <t>NET CUMULATIVE CASH FLOW</t>
  </si>
  <si>
    <t>NET MONTHLY CASH FLOW</t>
  </si>
  <si>
    <t>Estimated Raise Period total</t>
  </si>
  <si>
    <t>Estimated pre-raise total</t>
  </si>
  <si>
    <t>Estimated total</t>
  </si>
  <si>
    <t>Estimated net capital raise</t>
  </si>
  <si>
    <t>Estimated increased revenue</t>
  </si>
  <si>
    <t>Email targets</t>
  </si>
  <si>
    <t>Response rate (% of delivered)</t>
  </si>
  <si>
    <t>Avg. investment</t>
  </si>
  <si>
    <t>Conversion rate (% of responses)</t>
  </si>
  <si>
    <t>Digital ads</t>
  </si>
  <si>
    <t>Click-thru rate CTR</t>
  </si>
  <si>
    <t>Conversion rate (% of clicks)</t>
  </si>
  <si>
    <t>Clicks target</t>
  </si>
  <si>
    <t>CPC</t>
  </si>
  <si>
    <t>ROI</t>
  </si>
  <si>
    <t>Cost per investor</t>
  </si>
  <si>
    <t>Media cost</t>
  </si>
  <si>
    <t>Database cost</t>
  </si>
  <si>
    <t>Warm email</t>
  </si>
  <si>
    <t>Database size</t>
  </si>
  <si>
    <t>Target #investors</t>
  </si>
  <si>
    <t>Conversion rate</t>
  </si>
  <si>
    <t>Sources</t>
  </si>
  <si>
    <t xml:space="preserve">  Warm email</t>
  </si>
  <si>
    <t xml:space="preserve">  Digital ads</t>
  </si>
  <si>
    <t>Database CPM</t>
  </si>
  <si>
    <t>Alternate model</t>
  </si>
  <si>
    <t>Send CPM</t>
  </si>
  <si>
    <t>Total msgs</t>
  </si>
  <si>
    <t>Msgs per contact</t>
  </si>
  <si>
    <t>Send cost</t>
  </si>
  <si>
    <t>Cold email - Mass</t>
  </si>
  <si>
    <t xml:space="preserve">  Cold email - mass</t>
  </si>
  <si>
    <t xml:space="preserve">  Cold email - accredited investors</t>
  </si>
  <si>
    <t>Cold email - accredited investors</t>
  </si>
  <si>
    <t>Response rate</t>
  </si>
  <si>
    <t>Pitch meeting rate</t>
  </si>
  <si>
    <t>Cost</t>
  </si>
  <si>
    <t>Assumptions (do not delete below this line)</t>
  </si>
  <si>
    <t>CPM</t>
  </si>
  <si>
    <t>Rate</t>
  </si>
  <si>
    <t>Impressions target</t>
  </si>
  <si>
    <t>Media Spend (estimate)</t>
  </si>
  <si>
    <t>Marketing retainer (monthly)</t>
  </si>
  <si>
    <t>Strategy</t>
  </si>
  <si>
    <t>Project management</t>
  </si>
  <si>
    <t>Brand development</t>
  </si>
  <si>
    <t>Content marketing</t>
  </si>
  <si>
    <t>Website development</t>
  </si>
  <si>
    <t>Landing pages</t>
  </si>
  <si>
    <t>Social media</t>
  </si>
  <si>
    <t>Influencer outreach</t>
  </si>
  <si>
    <t>Graphic design</t>
  </si>
  <si>
    <t>Video creation/editing</t>
  </si>
  <si>
    <t>Webinar development &amp; production</t>
  </si>
  <si>
    <t>Search engine optimization</t>
  </si>
  <si>
    <t>Ad campaign management</t>
  </si>
  <si>
    <t>Email campaign management</t>
  </si>
  <si>
    <t>Public relations / press releases</t>
  </si>
  <si>
    <t>PR distribution</t>
  </si>
  <si>
    <t>ROAS</t>
  </si>
  <si>
    <t>Digital ads - CPC</t>
  </si>
  <si>
    <t>Digital ads - CPM</t>
  </si>
  <si>
    <t>Email</t>
  </si>
  <si>
    <t>Month</t>
  </si>
  <si>
    <t>Total</t>
  </si>
  <si>
    <t>Multiplier</t>
  </si>
  <si>
    <t>Scale factor</t>
  </si>
  <si>
    <t>Media Spend (total)</t>
  </si>
  <si>
    <t>TOTAL</t>
  </si>
  <si>
    <t>ROI overall</t>
  </si>
  <si>
    <t>Returns Analysis</t>
  </si>
  <si>
    <t>Total Estimated Expenses</t>
  </si>
  <si>
    <t>MONTH 1</t>
  </si>
  <si>
    <t>MONTH 2</t>
  </si>
  <si>
    <t>MONTH 3</t>
  </si>
  <si>
    <t>MONTH 4</t>
  </si>
  <si>
    <t>Estimated Investment Inflows</t>
  </si>
  <si>
    <t>NET CASH FLOW</t>
  </si>
  <si>
    <t>NPV (10%)</t>
  </si>
  <si>
    <t>INTERNAL RATE OF RETURN (IRR)</t>
  </si>
  <si>
    <t>RETURN ON INVESTMENT</t>
  </si>
  <si>
    <t>LSI Consulting</t>
  </si>
  <si>
    <t>Capital Planning Valuation Strategy - MFP</t>
  </si>
  <si>
    <t>KoreConX All-in-One Fintech Platform</t>
  </si>
  <si>
    <t>Rialto Markets FINRA Broker-Dealer</t>
  </si>
  <si>
    <t>FINRA 5110 Filing Fees</t>
  </si>
  <si>
    <t>Blue Sky filing fees</t>
  </si>
  <si>
    <t>Assumptions</t>
  </si>
  <si>
    <t>Pre-revenue?  TRUE/FALSE</t>
  </si>
  <si>
    <t>Audit</t>
  </si>
  <si>
    <t>% of raise paid by CC</t>
  </si>
  <si>
    <t>BD Institutional investor outreach</t>
  </si>
  <si>
    <t>% of raise by BD institutional outreach</t>
  </si>
  <si>
    <t>$500 + 0.015% of raise</t>
  </si>
  <si>
    <t>BD investor outreach % rate</t>
  </si>
  <si>
    <r>
      <rPr>
        <b/>
        <sz val="11"/>
        <rFont val="Century Gothic"/>
        <family val="2"/>
      </rPr>
      <t>MONTH 5 - 16  LIVE</t>
    </r>
    <r>
      <rPr>
        <sz val="11"/>
        <rFont val="Century Gothic"/>
        <family val="2"/>
      </rPr>
      <t xml:space="preserve">
Estimated ongoing expenses while offering is live accepting investments. Note that offering proceeds can be used to pay ongoing marketing and other costs.</t>
    </r>
  </si>
  <si>
    <t>CC rate</t>
  </si>
  <si>
    <t>Wire fee</t>
  </si>
  <si>
    <t>ACH fee</t>
  </si>
  <si>
    <t>Remainder is split evenly between wire and ACH</t>
  </si>
  <si>
    <t>Payment processing - (CC, ACH, wire)</t>
  </si>
  <si>
    <t>AML/KYC fee</t>
  </si>
  <si>
    <t>Transaction fees - AML/KYC</t>
  </si>
  <si>
    <t>Ramp</t>
  </si>
  <si>
    <t>Escrow</t>
  </si>
  <si>
    <t># from BD outreach</t>
  </si>
  <si>
    <t># from investor acquisition</t>
  </si>
  <si>
    <t xml:space="preserve">  Indirect (PR/social/WOM)</t>
  </si>
  <si>
    <t>Administrative support</t>
  </si>
  <si>
    <t>Software subscriptions</t>
  </si>
  <si>
    <r>
      <t xml:space="preserve">MONTH 1
</t>
    </r>
    <r>
      <rPr>
        <sz val="10"/>
        <rFont val="Century Gothic"/>
        <family val="2"/>
      </rPr>
      <t>Engage Service providers</t>
    </r>
  </si>
  <si>
    <t>Legal - Foundational Legal</t>
  </si>
  <si>
    <t>Estimated average investment</t>
  </si>
  <si>
    <t>Estimated # new investors</t>
  </si>
  <si>
    <t>Estimated return on Investment</t>
  </si>
  <si>
    <t>Estimated cash float coverage needed</t>
  </si>
  <si>
    <t>Estimateded cash float coverage needed</t>
  </si>
  <si>
    <t>Estimated # investors</t>
  </si>
  <si>
    <t>Optional Investor Relations</t>
  </si>
  <si>
    <t>Rialto BD Service Level Description</t>
  </si>
  <si>
    <t>50 states; AML/KYC processing (subscription agreement review, exceptions handled by issuer, proactive outreach handled by issuer); marketing material review</t>
  </si>
  <si>
    <t>BD of record rate (% of funds raised)</t>
  </si>
  <si>
    <t>Silver level PLUS; direct exception handling (payment/application issues, KYC exceptions, chatty investor dialogue, proactive outreach handled by issuer)</t>
  </si>
  <si>
    <t>Gold level PLUS; proactive investor applicant outreach (follow-up with investors/applicants who misplace and/or did not complete applications); escrow management</t>
  </si>
  <si>
    <t>Rialto Markets FINRA BD of Record</t>
  </si>
  <si>
    <t>Gold 2%, Platinum 3%</t>
  </si>
  <si>
    <t>Consulting Fee</t>
  </si>
  <si>
    <t>Investor Acquisition Retainer</t>
  </si>
  <si>
    <t>Silver 1% (Broker of Record)</t>
  </si>
  <si>
    <r>
      <t xml:space="preserve">MONTH 3
</t>
    </r>
    <r>
      <rPr>
        <sz val="10"/>
        <rFont val="Century Gothic"/>
        <family val="2"/>
      </rPr>
      <t>SEC Filing
(Form 1A)</t>
    </r>
  </si>
  <si>
    <t xml:space="preserve">MONTH 2
</t>
  </si>
  <si>
    <r>
      <t xml:space="preserve">MONTH 4
</t>
    </r>
    <r>
      <rPr>
        <sz val="10"/>
        <rFont val="Century Gothic"/>
        <family val="2"/>
      </rPr>
      <t>SEC Filing
(Form 1A)                                                                                                                                                                                                                                                                                       State Filings</t>
    </r>
  </si>
  <si>
    <r>
      <t xml:space="preserve">MONTH 6
</t>
    </r>
    <r>
      <rPr>
        <sz val="10"/>
        <rFont val="Century Gothic"/>
        <family val="2"/>
      </rPr>
      <t>Estimated SEC Qualification</t>
    </r>
  </si>
  <si>
    <t xml:space="preserve">MONTH 5
</t>
  </si>
  <si>
    <t>Financial Projections - Disclaimer</t>
  </si>
  <si>
    <t>The financial projections prepared by Medical Funding Professionals ("MFP") are, in general, prepared solely for internal use and capital budgeting and other management decisions and are subjective in many respects, and, thus, susceptible to multiple interpretations and periodic revisions based on actual experience and business developments. The financial projections also reflect numerous assumptions in addition to those described in this communication, all made by MFP management, with respect to SEC and FINRA qualifications as well as general business, economic, market and financial conditions and other matters. These assumptions regarding future events are difficult if not impossible to predict, and many are beyond MFP’s control. Accordingly, there can be no assurance that the assumptions made by MFP in preparing the financial projections will prove accurate. It is expected that there will be differences between actual and projected results, and actual results may be materially greater or less than those contained in the financial projections provided by MFP. The inclusion of financial projections in this document should not be regarded as an indication that MFP or any affiliates or representatives consider the financial projections to be a reliable prediction of future events, and the financial projections should not be relied upon as such.</t>
  </si>
  <si>
    <t>RDR Form 1SA</t>
  </si>
  <si>
    <t>RDR Form 1K</t>
  </si>
  <si>
    <t>RDR Form 1U</t>
  </si>
  <si>
    <t>Audit Fee (Offering Close) - Assurance Dimensions</t>
  </si>
  <si>
    <t>Disclaimer - Filing Info</t>
  </si>
  <si>
    <t>The timing of cash flows and fees related to SEC, State, and any other filings, including Form IA, FINRA 5110, Blue Sky, and RDR Forms 1SA, 1K, and 1U are based on internal estimates of filing dates which are subject to change based on a variety of factors including but not limited to the timing of completion of semi-annual mid-year financials, annual financials, and other factors as needed per material event changes.</t>
  </si>
  <si>
    <t>FDA Evaluation &amp; Regulatory Advice</t>
  </si>
  <si>
    <t>SEC Filing and Offering Preparation - Reg D Resources</t>
  </si>
  <si>
    <t>TBD</t>
  </si>
  <si>
    <t>CPVS™ Reg A+ Monthly Capital &amp; Cash Flow Estimate with SEC Delay</t>
  </si>
  <si>
    <t>Copyright © 2022  Medical Funding Professionals and Life Science Intelligence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</si>
</sst>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 $&quot;* #,##0\ ;&quot; $&quot;* \(#,##0\);&quot; $&quot;* \-??\ "/>
    <numFmt numFmtId="166" formatCode="_(&quot;$&quot;* #,##0_);_(&quot;$&quot;* \(#,##0\);_(&quot;$&quot;* &quot;-&quot;??_);_(@_)"/>
    <numFmt numFmtId="167" formatCode="0.0%"/>
    <numFmt numFmtId="168" formatCode="&quot;$&quot;#,##0"/>
    <numFmt numFmtId="169" formatCode="&quot;SIlver&quot;\ 0%"/>
    <numFmt numFmtId="170" formatCode="&quot;Gold&quot;\ 0%"/>
    <numFmt numFmtId="171" formatCode="&quot;Platinum&quot;\ 0%"/>
    <numFmt numFmtId="172" formatCode="&quot;Silver&quot;\ 0%"/>
  </numFmts>
  <fonts count="21" x14ac:knownFonts="1">
    <font>
      <sz val="12"/>
      <name val="Calibri"/>
      <charset val="1"/>
    </font>
    <font>
      <sz val="13"/>
      <name val="Calibri"/>
      <family val="2"/>
    </font>
    <font>
      <b/>
      <sz val="23"/>
      <name val="Century Gothic"/>
      <family val="2"/>
      <charset val="1"/>
    </font>
    <font>
      <b/>
      <sz val="11"/>
      <name val="Century Gothic"/>
      <family val="2"/>
    </font>
    <font>
      <b/>
      <sz val="11"/>
      <name val="Century Gothic"/>
      <family val="2"/>
      <charset val="1"/>
    </font>
    <font>
      <sz val="11"/>
      <name val="Century Gothic"/>
      <family val="2"/>
    </font>
    <font>
      <b/>
      <sz val="19"/>
      <name val="Century Gothic"/>
      <family val="2"/>
    </font>
    <font>
      <b/>
      <sz val="12"/>
      <name val="Century Gothic"/>
      <family val="2"/>
    </font>
    <font>
      <sz val="12"/>
      <name val="Century Gothic"/>
      <family val="2"/>
      <charset val="1"/>
    </font>
    <font>
      <sz val="12"/>
      <name val="Century Gothic"/>
      <family val="2"/>
    </font>
    <font>
      <sz val="12"/>
      <name val="Calibri"/>
      <family val="2"/>
    </font>
    <font>
      <b/>
      <sz val="13"/>
      <name val="Calibri"/>
      <family val="2"/>
    </font>
    <font>
      <sz val="10"/>
      <name val="Arial"/>
      <family val="2"/>
    </font>
    <font>
      <sz val="10"/>
      <color theme="1"/>
      <name val="Verdana"/>
      <family val="2"/>
    </font>
    <font>
      <sz val="10"/>
      <name val="Century Gothic"/>
      <family val="2"/>
    </font>
    <font>
      <b/>
      <sz val="10"/>
      <name val="Century Gothic"/>
      <family val="2"/>
    </font>
    <font>
      <sz val="12"/>
      <name val="Calibri"/>
      <family val="2"/>
    </font>
    <font>
      <b/>
      <sz val="24"/>
      <color theme="2" tint="-0.89999084444715716"/>
      <name val="Verdana"/>
      <family val="2"/>
    </font>
    <font>
      <b/>
      <sz val="11"/>
      <color theme="1"/>
      <name val="Century Gothic"/>
      <family val="2"/>
    </font>
    <font>
      <sz val="11"/>
      <color theme="1"/>
      <name val="Century Gothic"/>
      <family val="2"/>
    </font>
    <font>
      <sz val="11"/>
      <name val="Calibri"/>
      <family val="2"/>
    </font>
  </fonts>
  <fills count="7">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tint="-4.9989318521683403E-2"/>
        <bgColor rgb="FFFFFFCC"/>
      </patternFill>
    </fill>
    <fill>
      <patternFill patternType="solid">
        <fgColor theme="0" tint="-0.14999847407452621"/>
        <bgColor rgb="FFFFFFCC"/>
      </patternFill>
    </fill>
    <fill>
      <patternFill patternType="solid">
        <fgColor theme="2"/>
        <bgColor indexed="64"/>
      </patternFill>
    </fill>
  </fills>
  <borders count="17">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auto="1"/>
      </top>
      <bottom/>
      <diagonal/>
    </border>
    <border>
      <left/>
      <right style="thin">
        <color auto="1"/>
      </right>
      <top style="thin">
        <color auto="1"/>
      </top>
      <bottom/>
      <diagonal/>
    </border>
  </borders>
  <cellStyleXfs count="9">
    <xf numFmtId="0" fontId="0" fillId="0" borderId="0"/>
    <xf numFmtId="43" fontId="10"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cellStyleXfs>
  <cellXfs count="159">
    <xf numFmtId="0" fontId="0" fillId="0" borderId="0" xfId="0"/>
    <xf numFmtId="49" fontId="2" fillId="2" borderId="0" xfId="0" applyNumberFormat="1" applyFont="1" applyFill="1" applyBorder="1" applyAlignment="1" applyProtection="1">
      <alignment horizontal="left" vertical="center" wrapText="1"/>
    </xf>
    <xf numFmtId="0" fontId="1" fillId="0" borderId="0" xfId="0" applyFont="1" applyBorder="1" applyAlignment="1" applyProtection="1">
      <alignment vertical="top"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7" fillId="2" borderId="2" xfId="0" applyNumberFormat="1" applyFont="1" applyFill="1" applyBorder="1" applyAlignment="1" applyProtection="1">
      <alignment horizontal="left" vertical="center" wrapText="1"/>
    </xf>
    <xf numFmtId="0" fontId="11" fillId="0" borderId="2" xfId="0" applyFont="1" applyBorder="1" applyAlignment="1" applyProtection="1">
      <alignment horizontal="center" vertical="top" wrapText="1"/>
    </xf>
    <xf numFmtId="0" fontId="13" fillId="3" borderId="0" xfId="0" applyFont="1" applyFill="1"/>
    <xf numFmtId="49" fontId="2" fillId="2" borderId="0" xfId="0" applyNumberFormat="1" applyFont="1" applyFill="1" applyBorder="1" applyAlignment="1" applyProtection="1">
      <alignment horizontal="left" vertical="center" wrapText="1"/>
    </xf>
    <xf numFmtId="49" fontId="7" fillId="2" borderId="4"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165" fontId="9" fillId="2" borderId="2" xfId="0" applyNumberFormat="1" applyFont="1" applyFill="1" applyBorder="1" applyAlignment="1" applyProtection="1">
      <alignment horizontal="left" vertical="center" wrapText="1"/>
    </xf>
    <xf numFmtId="49" fontId="4" fillId="4" borderId="2" xfId="0" applyNumberFormat="1" applyFont="1" applyFill="1" applyBorder="1" applyAlignment="1" applyProtection="1">
      <alignment horizontal="center" vertical="top" wrapText="1"/>
    </xf>
    <xf numFmtId="165" fontId="5" fillId="4" borderId="2" xfId="0" applyNumberFormat="1" applyFont="1" applyFill="1" applyBorder="1" applyAlignment="1" applyProtection="1">
      <alignment horizontal="left" vertical="center" wrapText="1"/>
    </xf>
    <xf numFmtId="165" fontId="7" fillId="4" borderId="2" xfId="0" applyNumberFormat="1" applyFont="1" applyFill="1" applyBorder="1" applyAlignment="1" applyProtection="1">
      <alignment horizontal="left" vertical="center" wrapText="1"/>
    </xf>
    <xf numFmtId="165" fontId="9" fillId="4" borderId="2" xfId="0" applyNumberFormat="1" applyFont="1" applyFill="1" applyBorder="1" applyAlignment="1" applyProtection="1">
      <alignment horizontal="left" vertical="center" wrapText="1"/>
    </xf>
    <xf numFmtId="49" fontId="4" fillId="5" borderId="2" xfId="0" applyNumberFormat="1" applyFont="1" applyFill="1" applyBorder="1" applyAlignment="1" applyProtection="1">
      <alignment horizontal="center" vertical="top" wrapText="1"/>
    </xf>
    <xf numFmtId="165" fontId="7" fillId="5" borderId="2" xfId="0" applyNumberFormat="1" applyFont="1" applyFill="1" applyBorder="1" applyAlignment="1" applyProtection="1">
      <alignment horizontal="left" vertical="center" wrapText="1"/>
    </xf>
    <xf numFmtId="165" fontId="5" fillId="5" borderId="2" xfId="0" applyNumberFormat="1" applyFont="1" applyFill="1" applyBorder="1" applyAlignment="1" applyProtection="1">
      <alignment horizontal="left" vertical="center" wrapText="1"/>
    </xf>
    <xf numFmtId="49" fontId="14" fillId="2" borderId="0" xfId="0" applyNumberFormat="1" applyFont="1" applyFill="1" applyBorder="1" applyAlignment="1" applyProtection="1">
      <alignment horizontal="left" vertical="center" wrapText="1"/>
    </xf>
    <xf numFmtId="6" fontId="14" fillId="2" borderId="0" xfId="0" applyNumberFormat="1" applyFont="1" applyFill="1" applyBorder="1" applyAlignment="1" applyProtection="1">
      <alignment horizontal="right" vertical="center" wrapText="1"/>
    </xf>
    <xf numFmtId="0" fontId="14" fillId="0" borderId="0" xfId="0" applyFont="1" applyBorder="1"/>
    <xf numFmtId="0" fontId="14" fillId="0" borderId="0" xfId="0" applyFont="1"/>
    <xf numFmtId="164" fontId="14" fillId="2" borderId="0" xfId="1" applyNumberFormat="1" applyFont="1" applyFill="1" applyBorder="1" applyAlignment="1" applyProtection="1">
      <alignment horizontal="right" vertical="center" wrapText="1"/>
    </xf>
    <xf numFmtId="6" fontId="14" fillId="0" borderId="0" xfId="0" applyNumberFormat="1" applyFont="1" applyBorder="1"/>
    <xf numFmtId="0" fontId="15" fillId="0" borderId="0" xfId="0" applyFont="1" applyBorder="1"/>
    <xf numFmtId="9" fontId="14" fillId="0" borderId="0" xfId="0" applyNumberFormat="1" applyFont="1" applyBorder="1"/>
    <xf numFmtId="164" fontId="14" fillId="0" borderId="0" xfId="0" applyNumberFormat="1" applyFont="1" applyBorder="1"/>
    <xf numFmtId="0" fontId="15" fillId="0" borderId="0" xfId="0" applyFont="1"/>
    <xf numFmtId="6" fontId="14" fillId="0" borderId="0" xfId="0" applyNumberFormat="1" applyFont="1"/>
    <xf numFmtId="167" fontId="14" fillId="0" borderId="0" xfId="0" applyNumberFormat="1" applyFont="1" applyBorder="1"/>
    <xf numFmtId="166" fontId="14" fillId="0" borderId="0" xfId="0" applyNumberFormat="1" applyFont="1"/>
    <xf numFmtId="3" fontId="14" fillId="6" borderId="0" xfId="0" applyNumberFormat="1" applyFont="1" applyFill="1" applyBorder="1"/>
    <xf numFmtId="3" fontId="14" fillId="0" borderId="0" xfId="0" applyNumberFormat="1" applyFont="1"/>
    <xf numFmtId="3" fontId="14" fillId="0" borderId="0" xfId="0" applyNumberFormat="1" applyFont="1" applyBorder="1"/>
    <xf numFmtId="164" fontId="14" fillId="0" borderId="0" xfId="0" applyNumberFormat="1" applyFont="1"/>
    <xf numFmtId="9" fontId="14" fillId="0" borderId="0" xfId="0" applyNumberFormat="1" applyFont="1" applyBorder="1" applyAlignment="1">
      <alignment horizontal="right"/>
    </xf>
    <xf numFmtId="0" fontId="14" fillId="0" borderId="0" xfId="0" applyFont="1" applyAlignment="1">
      <alignment horizontal="right"/>
    </xf>
    <xf numFmtId="167" fontId="14" fillId="0" borderId="0" xfId="0" applyNumberFormat="1" applyFont="1"/>
    <xf numFmtId="10" fontId="14" fillId="0" borderId="0" xfId="0" applyNumberFormat="1" applyFont="1"/>
    <xf numFmtId="166" fontId="14" fillId="0" borderId="0" xfId="0" applyNumberFormat="1" applyFont="1" applyBorder="1"/>
    <xf numFmtId="2" fontId="14" fillId="0" borderId="0" xfId="0" applyNumberFormat="1" applyFont="1" applyBorder="1"/>
    <xf numFmtId="0" fontId="5" fillId="0" borderId="0" xfId="0" applyFont="1" applyBorder="1"/>
    <xf numFmtId="0" fontId="18" fillId="3" borderId="0" xfId="0" applyFont="1" applyFill="1" applyBorder="1" applyAlignment="1">
      <alignment horizontal="center"/>
    </xf>
    <xf numFmtId="0" fontId="18" fillId="3" borderId="0" xfId="0" applyFont="1" applyFill="1" applyBorder="1"/>
    <xf numFmtId="165" fontId="5" fillId="3" borderId="0" xfId="0" applyNumberFormat="1" applyFont="1" applyFill="1" applyBorder="1" applyAlignment="1">
      <alignment horizontal="left" vertical="center" wrapText="1"/>
    </xf>
    <xf numFmtId="0" fontId="19" fillId="3" borderId="0" xfId="0" applyFont="1" applyFill="1" applyBorder="1"/>
    <xf numFmtId="165" fontId="3" fillId="3" borderId="0" xfId="0" applyNumberFormat="1" applyFont="1" applyFill="1" applyBorder="1" applyAlignment="1">
      <alignment horizontal="left" vertical="center" wrapText="1"/>
    </xf>
    <xf numFmtId="0" fontId="5" fillId="3" borderId="0" xfId="0" applyFont="1" applyFill="1" applyBorder="1"/>
    <xf numFmtId="165" fontId="18" fillId="3" borderId="0" xfId="0" applyNumberFormat="1" applyFont="1" applyFill="1" applyBorder="1" applyAlignment="1">
      <alignment horizontal="left"/>
    </xf>
    <xf numFmtId="165" fontId="18" fillId="3" borderId="0" xfId="0" applyNumberFormat="1" applyFont="1" applyFill="1" applyBorder="1"/>
    <xf numFmtId="9" fontId="18" fillId="3" borderId="0" xfId="0" applyNumberFormat="1" applyFont="1" applyFill="1" applyBorder="1"/>
    <xf numFmtId="9" fontId="18" fillId="3" borderId="0" xfId="6" applyFont="1" applyFill="1" applyBorder="1"/>
    <xf numFmtId="49" fontId="15" fillId="2" borderId="11" xfId="0" applyNumberFormat="1" applyFont="1" applyFill="1" applyBorder="1" applyAlignment="1" applyProtection="1">
      <alignment horizontal="center" vertical="top" wrapText="1"/>
    </xf>
    <xf numFmtId="1" fontId="1" fillId="0" borderId="1" xfId="0" applyNumberFormat="1" applyFont="1" applyBorder="1" applyAlignment="1" applyProtection="1">
      <alignment horizontal="center" vertical="top" wrapText="1"/>
    </xf>
    <xf numFmtId="0" fontId="5" fillId="5" borderId="1" xfId="0" applyNumberFormat="1" applyFont="1" applyFill="1" applyBorder="1" applyAlignment="1" applyProtection="1">
      <alignment horizontal="center" vertical="top" wrapText="1"/>
    </xf>
    <xf numFmtId="49" fontId="15" fillId="2" borderId="14" xfId="0" applyNumberFormat="1" applyFont="1" applyFill="1" applyBorder="1" applyAlignment="1" applyProtection="1">
      <alignment horizontal="center" vertical="top" wrapText="1"/>
    </xf>
    <xf numFmtId="1" fontId="1" fillId="0" borderId="8" xfId="0" applyNumberFormat="1" applyFont="1" applyBorder="1" applyAlignment="1" applyProtection="1">
      <alignment horizontal="center" vertical="top" wrapText="1"/>
    </xf>
    <xf numFmtId="0" fontId="5" fillId="5" borderId="8" xfId="0" applyNumberFormat="1" applyFont="1" applyFill="1" applyBorder="1" applyAlignment="1" applyProtection="1">
      <alignment horizontal="center" vertical="top" wrapText="1"/>
    </xf>
    <xf numFmtId="166" fontId="14" fillId="2" borderId="0" xfId="7" applyNumberFormat="1" applyFont="1" applyFill="1" applyBorder="1" applyAlignment="1" applyProtection="1">
      <alignment horizontal="right" vertical="center" wrapText="1"/>
    </xf>
    <xf numFmtId="166" fontId="14" fillId="0" borderId="0" xfId="7" applyNumberFormat="1" applyFont="1"/>
    <xf numFmtId="167" fontId="14" fillId="0" borderId="0" xfId="8" applyNumberFormat="1" applyFont="1"/>
    <xf numFmtId="166" fontId="15" fillId="0" borderId="0" xfId="7" applyNumberFormat="1" applyFont="1"/>
    <xf numFmtId="167" fontId="14" fillId="0" borderId="0" xfId="8" applyNumberFormat="1" applyFont="1" applyBorder="1"/>
    <xf numFmtId="10" fontId="14" fillId="0" borderId="0" xfId="8" applyNumberFormat="1" applyFont="1" applyBorder="1"/>
    <xf numFmtId="9" fontId="14" fillId="0" borderId="0" xfId="8" applyFont="1" applyBorder="1"/>
    <xf numFmtId="166" fontId="14" fillId="0" borderId="0" xfId="7" applyNumberFormat="1" applyFont="1" applyBorder="1"/>
    <xf numFmtId="9" fontId="14" fillId="0" borderId="0" xfId="8" applyFont="1"/>
    <xf numFmtId="165" fontId="11" fillId="0" borderId="0" xfId="0" applyNumberFormat="1" applyFont="1" applyBorder="1" applyAlignment="1" applyProtection="1">
      <alignment vertical="center" wrapText="1"/>
    </xf>
    <xf numFmtId="165" fontId="5" fillId="0" borderId="2" xfId="0" applyNumberFormat="1" applyFont="1" applyFill="1" applyBorder="1" applyAlignment="1" applyProtection="1">
      <alignment horizontal="left" vertical="center" wrapText="1"/>
    </xf>
    <xf numFmtId="0" fontId="1" fillId="3" borderId="0" xfId="0" applyFont="1" applyFill="1" applyBorder="1" applyAlignment="1" applyProtection="1">
      <alignment vertical="top"/>
    </xf>
    <xf numFmtId="0" fontId="14" fillId="0" borderId="0" xfId="0" applyFont="1" applyAlignment="1">
      <alignment vertical="top" wrapText="1"/>
    </xf>
    <xf numFmtId="0" fontId="13" fillId="0" borderId="0" xfId="0" applyFont="1" applyFill="1"/>
    <xf numFmtId="0" fontId="0" fillId="0" borderId="0" xfId="0" applyFill="1"/>
    <xf numFmtId="49" fontId="17"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wrapText="1"/>
    </xf>
    <xf numFmtId="6" fontId="9" fillId="0" borderId="0" xfId="0" applyNumberFormat="1" applyFont="1" applyFill="1" applyBorder="1" applyAlignment="1" applyProtection="1">
      <alignment horizontal="right" vertical="center" wrapText="1"/>
    </xf>
    <xf numFmtId="0" fontId="1" fillId="0" borderId="0" xfId="0" applyFont="1" applyFill="1" applyBorder="1" applyAlignment="1" applyProtection="1">
      <alignment vertical="top" wrapText="1"/>
    </xf>
    <xf numFmtId="49" fontId="9" fillId="0" borderId="0" xfId="0" applyNumberFormat="1"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xf>
    <xf numFmtId="165" fontId="9" fillId="0" borderId="0" xfId="0" applyNumberFormat="1" applyFont="1" applyFill="1" applyBorder="1" applyAlignment="1" applyProtection="1">
      <alignment horizontal="right" vertical="center" wrapText="1"/>
    </xf>
    <xf numFmtId="0" fontId="1" fillId="0" borderId="0" xfId="0" applyFont="1" applyFill="1" applyBorder="1" applyAlignment="1" applyProtection="1">
      <alignment vertical="top"/>
    </xf>
    <xf numFmtId="168" fontId="9" fillId="0" borderId="0" xfId="0" applyNumberFormat="1" applyFont="1" applyFill="1" applyBorder="1" applyAlignment="1" applyProtection="1">
      <alignment horizontal="right" vertical="center" wrapText="1"/>
    </xf>
    <xf numFmtId="9" fontId="9" fillId="0" borderId="0" xfId="6" applyFont="1" applyFill="1" applyBorder="1" applyAlignment="1" applyProtection="1">
      <alignment horizontal="right" vertical="center" wrapText="1"/>
    </xf>
    <xf numFmtId="164" fontId="9" fillId="0" borderId="0" xfId="1" applyNumberFormat="1" applyFont="1" applyFill="1" applyBorder="1" applyAlignment="1" applyProtection="1">
      <alignment horizontal="right" vertical="center" wrapText="1"/>
    </xf>
    <xf numFmtId="49" fontId="15" fillId="0" borderId="2" xfId="0" applyNumberFormat="1" applyFont="1" applyFill="1" applyBorder="1" applyAlignment="1" applyProtection="1">
      <alignment horizontal="center" vertical="top" wrapText="1"/>
    </xf>
    <xf numFmtId="49" fontId="15" fillId="0" borderId="14"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left" vertical="center" wrapText="1"/>
    </xf>
    <xf numFmtId="49" fontId="9" fillId="0" borderId="10" xfId="0" applyNumberFormat="1" applyFont="1" applyFill="1" applyBorder="1" applyAlignment="1" applyProtection="1">
      <alignment horizontal="left" vertical="center" wrapText="1"/>
    </xf>
    <xf numFmtId="49" fontId="15" fillId="0" borderId="11" xfId="0" applyNumberFormat="1" applyFont="1" applyFill="1" applyBorder="1" applyAlignment="1" applyProtection="1">
      <alignment horizontal="center" vertical="top" wrapText="1"/>
    </xf>
    <xf numFmtId="49" fontId="9" fillId="0" borderId="3" xfId="0" applyNumberFormat="1" applyFont="1" applyFill="1" applyBorder="1" applyAlignment="1" applyProtection="1">
      <alignment horizontal="left" vertical="center" wrapText="1"/>
    </xf>
    <xf numFmtId="49" fontId="9" fillId="0" borderId="5"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165" fontId="5" fillId="0" borderId="1"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49" fontId="9" fillId="0" borderId="3" xfId="0" applyNumberFormat="1" applyFont="1" applyFill="1" applyBorder="1" applyAlignment="1" applyProtection="1">
      <alignment horizontal="left" vertical="center" wrapText="1" indent="1"/>
    </xf>
    <xf numFmtId="49" fontId="9" fillId="0" borderId="5" xfId="0" applyNumberFormat="1" applyFont="1" applyFill="1" applyBorder="1" applyAlignment="1" applyProtection="1">
      <alignment horizontal="left" vertical="center" wrapText="1" indent="1"/>
    </xf>
    <xf numFmtId="165" fontId="5" fillId="0" borderId="6"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vertical="center" wrapText="1"/>
    </xf>
    <xf numFmtId="165" fontId="7" fillId="0" borderId="2" xfId="0" applyNumberFormat="1" applyFont="1" applyFill="1" applyBorder="1" applyAlignment="1" applyProtection="1">
      <alignment horizontal="left" vertical="center" wrapText="1"/>
    </xf>
    <xf numFmtId="49" fontId="7" fillId="0" borderId="4" xfId="0" applyNumberFormat="1" applyFont="1" applyFill="1" applyBorder="1" applyAlignment="1" applyProtection="1">
      <alignment horizontal="left" vertical="center" wrapText="1"/>
    </xf>
    <xf numFmtId="165" fontId="9" fillId="0" borderId="2"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vertical="top"/>
    </xf>
    <xf numFmtId="0" fontId="9" fillId="0" borderId="0" xfId="0" applyFont="1" applyFill="1" applyBorder="1" applyAlignment="1" applyProtection="1">
      <alignment vertical="top"/>
    </xf>
    <xf numFmtId="0" fontId="9" fillId="0" borderId="0" xfId="0" applyFont="1" applyFill="1"/>
    <xf numFmtId="0" fontId="9" fillId="0" borderId="0" xfId="0" applyFont="1" applyFill="1" applyBorder="1" applyAlignment="1" applyProtection="1">
      <alignment horizontal="left" vertical="top"/>
    </xf>
    <xf numFmtId="9" fontId="9" fillId="0" borderId="0" xfId="0" applyNumberFormat="1" applyFont="1" applyFill="1" applyBorder="1" applyAlignment="1" applyProtection="1">
      <alignment horizontal="left" vertical="top"/>
    </xf>
    <xf numFmtId="172" fontId="9" fillId="0" borderId="0" xfId="0" applyNumberFormat="1" applyFont="1" applyFill="1" applyBorder="1" applyAlignment="1" applyProtection="1">
      <alignment vertical="top"/>
    </xf>
    <xf numFmtId="9" fontId="9" fillId="0" borderId="0" xfId="6" applyFont="1" applyFill="1" applyBorder="1" applyAlignment="1" applyProtection="1">
      <alignment horizontal="left" vertical="top"/>
    </xf>
    <xf numFmtId="10" fontId="9" fillId="0" borderId="0" xfId="0" applyNumberFormat="1" applyFont="1" applyFill="1" applyBorder="1" applyAlignment="1" applyProtection="1">
      <alignment horizontal="left" vertical="top"/>
    </xf>
    <xf numFmtId="6" fontId="9" fillId="0" borderId="0" xfId="0" applyNumberFormat="1" applyFont="1" applyFill="1" applyBorder="1" applyAlignment="1" applyProtection="1">
      <alignment horizontal="left" vertical="top"/>
    </xf>
    <xf numFmtId="8" fontId="9" fillId="0" borderId="0" xfId="0" applyNumberFormat="1" applyFont="1" applyFill="1" applyBorder="1" applyAlignment="1" applyProtection="1">
      <alignment horizontal="left" vertical="top"/>
    </xf>
    <xf numFmtId="0" fontId="7" fillId="0" borderId="0" xfId="0" applyFont="1" applyFill="1"/>
    <xf numFmtId="10" fontId="9" fillId="0" borderId="0" xfId="6" applyNumberFormat="1" applyFont="1" applyFill="1"/>
    <xf numFmtId="0" fontId="9" fillId="0" borderId="0" xfId="0" applyFont="1" applyFill="1" applyAlignment="1">
      <alignment horizontal="right"/>
    </xf>
    <xf numFmtId="10" fontId="9" fillId="0" borderId="0" xfId="0" applyNumberFormat="1" applyFont="1" applyFill="1"/>
    <xf numFmtId="169" fontId="9" fillId="0" borderId="0" xfId="0" applyNumberFormat="1" applyFont="1" applyFill="1" applyAlignment="1">
      <alignment horizontal="left" indent="1"/>
    </xf>
    <xf numFmtId="168" fontId="9" fillId="0" borderId="0" xfId="0" applyNumberFormat="1" applyFont="1" applyFill="1"/>
    <xf numFmtId="170" fontId="9" fillId="0" borderId="0" xfId="0" applyNumberFormat="1" applyFont="1" applyFill="1" applyAlignment="1">
      <alignment horizontal="left" indent="1"/>
    </xf>
    <xf numFmtId="171" fontId="9" fillId="0" borderId="0" xfId="0" applyNumberFormat="1" applyFont="1" applyFill="1" applyAlignment="1">
      <alignment horizontal="left" indent="1"/>
    </xf>
    <xf numFmtId="0" fontId="9" fillId="0" borderId="0" xfId="0" applyNumberFormat="1" applyFont="1" applyFill="1" applyAlignment="1">
      <alignment horizontal="left" indent="1"/>
    </xf>
    <xf numFmtId="49" fontId="9" fillId="0" borderId="3" xfId="0" applyNumberFormat="1" applyFont="1" applyFill="1" applyBorder="1" applyAlignment="1" applyProtection="1">
      <alignment horizontal="left" vertical="center" wrapText="1" indent="1"/>
    </xf>
    <xf numFmtId="49" fontId="9" fillId="0" borderId="5" xfId="0" applyNumberFormat="1" applyFont="1" applyFill="1" applyBorder="1" applyAlignment="1" applyProtection="1">
      <alignment horizontal="left" vertical="center" wrapText="1" indent="1"/>
    </xf>
    <xf numFmtId="49" fontId="9" fillId="0" borderId="3" xfId="0" applyNumberFormat="1" applyFont="1" applyFill="1" applyBorder="1" applyAlignment="1" applyProtection="1">
      <alignment horizontal="left" vertical="center" wrapText="1"/>
    </xf>
    <xf numFmtId="49" fontId="9" fillId="0" borderId="5" xfId="0" applyNumberFormat="1" applyFont="1" applyFill="1" applyBorder="1" applyAlignment="1" applyProtection="1">
      <alignment horizontal="left" vertical="center" wrapText="1"/>
    </xf>
    <xf numFmtId="49" fontId="9" fillId="0" borderId="3" xfId="0" applyNumberFormat="1" applyFont="1" applyFill="1" applyBorder="1" applyAlignment="1" applyProtection="1">
      <alignment horizontal="left" vertical="center" wrapText="1" indent="1"/>
    </xf>
    <xf numFmtId="49" fontId="9" fillId="0" borderId="3" xfId="0" applyNumberFormat="1" applyFont="1" applyFill="1" applyBorder="1" applyAlignment="1" applyProtection="1">
      <alignment horizontal="left" vertical="center" indent="1"/>
    </xf>
    <xf numFmtId="165" fontId="5" fillId="5" borderId="2" xfId="0" applyNumberFormat="1" applyFont="1" applyFill="1" applyBorder="1" applyAlignment="1" applyProtection="1">
      <alignment horizontal="right" vertical="center" wrapText="1"/>
    </xf>
    <xf numFmtId="14" fontId="1" fillId="0" borderId="0" xfId="0" applyNumberFormat="1" applyFont="1" applyBorder="1" applyAlignment="1" applyProtection="1">
      <alignment vertical="top" wrapText="1"/>
    </xf>
    <xf numFmtId="0" fontId="20" fillId="0" borderId="0" xfId="0" applyFont="1"/>
    <xf numFmtId="0" fontId="1" fillId="0" borderId="0" xfId="0" applyFont="1" applyBorder="1" applyAlignment="1" applyProtection="1">
      <alignment vertical="top"/>
    </xf>
    <xf numFmtId="0" fontId="5" fillId="0" borderId="7"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49" fontId="9" fillId="0" borderId="3" xfId="0" applyNumberFormat="1" applyFont="1" applyFill="1" applyBorder="1" applyAlignment="1" applyProtection="1">
      <alignment horizontal="left" vertical="center" wrapText="1" indent="1"/>
    </xf>
    <xf numFmtId="49" fontId="9" fillId="0" borderId="5" xfId="0" applyNumberFormat="1" applyFont="1" applyFill="1" applyBorder="1" applyAlignment="1" applyProtection="1">
      <alignment horizontal="left" vertical="center" wrapText="1" indent="1"/>
    </xf>
    <xf numFmtId="49" fontId="6" fillId="0" borderId="3" xfId="0" applyNumberFormat="1" applyFont="1" applyFill="1" applyBorder="1" applyAlignment="1" applyProtection="1">
      <alignment horizontal="center" vertical="center" wrapText="1"/>
    </xf>
    <xf numFmtId="49" fontId="6" fillId="0" borderId="5" xfId="0" applyNumberFormat="1" applyFont="1" applyFill="1" applyBorder="1" applyAlignment="1" applyProtection="1">
      <alignment horizontal="center" vertical="center" wrapText="1"/>
    </xf>
    <xf numFmtId="49" fontId="9" fillId="0" borderId="3" xfId="0" applyNumberFormat="1" applyFont="1" applyFill="1" applyBorder="1" applyAlignment="1" applyProtection="1">
      <alignment horizontal="left" vertical="center" wrapText="1"/>
    </xf>
    <xf numFmtId="49" fontId="9" fillId="0" borderId="5" xfId="0" applyNumberFormat="1" applyFont="1" applyFill="1" applyBorder="1" applyAlignment="1" applyProtection="1">
      <alignment horizontal="left" vertical="center" wrapText="1"/>
    </xf>
    <xf numFmtId="49" fontId="9" fillId="0" borderId="12" xfId="0" applyNumberFormat="1" applyFont="1" applyFill="1" applyBorder="1" applyAlignment="1" applyProtection="1">
      <alignment horizontal="left" vertical="center" wrapText="1"/>
    </xf>
    <xf numFmtId="49" fontId="9" fillId="0" borderId="13" xfId="0" applyNumberFormat="1" applyFont="1" applyFill="1" applyBorder="1" applyAlignment="1" applyProtection="1">
      <alignment horizontal="left" vertical="center" wrapText="1"/>
    </xf>
    <xf numFmtId="49" fontId="9" fillId="0" borderId="3"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7" fillId="0" borderId="3" xfId="0" applyNumberFormat="1" applyFont="1" applyFill="1" applyBorder="1" applyAlignment="1" applyProtection="1">
      <alignment horizontal="right" vertical="center" wrapText="1"/>
    </xf>
    <xf numFmtId="49" fontId="7" fillId="0" borderId="5" xfId="0" applyNumberFormat="1" applyFont="1" applyFill="1" applyBorder="1" applyAlignment="1" applyProtection="1">
      <alignment horizontal="right" vertical="center" wrapText="1"/>
    </xf>
    <xf numFmtId="49" fontId="9" fillId="0" borderId="2"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center" wrapText="1"/>
    </xf>
    <xf numFmtId="49" fontId="7" fillId="0" borderId="3" xfId="0" applyNumberFormat="1" applyFont="1" applyFill="1" applyBorder="1" applyAlignment="1" applyProtection="1">
      <alignment horizontal="left" vertical="center" wrapText="1"/>
    </xf>
    <xf numFmtId="49" fontId="7" fillId="0" borderId="4" xfId="0" applyNumberFormat="1" applyFont="1" applyFill="1" applyBorder="1" applyAlignment="1" applyProtection="1">
      <alignment horizontal="left" vertical="center" wrapText="1"/>
    </xf>
    <xf numFmtId="0" fontId="1" fillId="0" borderId="4" xfId="0" applyFont="1" applyFill="1" applyBorder="1" applyAlignment="1" applyProtection="1">
      <alignment vertical="top" wrapText="1"/>
    </xf>
    <xf numFmtId="0" fontId="3" fillId="0" borderId="0" xfId="0" applyFont="1" applyBorder="1" applyAlignment="1">
      <alignment horizontal="center"/>
    </xf>
    <xf numFmtId="0" fontId="14" fillId="0" borderId="0" xfId="0" applyFont="1" applyAlignment="1">
      <alignment horizontal="left" wrapText="1"/>
    </xf>
    <xf numFmtId="0" fontId="14" fillId="0" borderId="0" xfId="0" applyFont="1" applyAlignment="1">
      <alignment vertical="top"/>
    </xf>
  </cellXfs>
  <cellStyles count="9">
    <cellStyle name="Comma" xfId="1" builtinId="3"/>
    <cellStyle name="Comma 2" xfId="3" xr:uid="{00000000-0005-0000-0000-000001000000}"/>
    <cellStyle name="Currency 2" xfId="4" xr:uid="{00000000-0005-0000-0000-000002000000}"/>
    <cellStyle name="Currency 3" xfId="7" xr:uid="{00000000-0005-0000-0000-000003000000}"/>
    <cellStyle name="Normal" xfId="0" builtinId="0"/>
    <cellStyle name="Normal 2" xfId="2" xr:uid="{00000000-0005-0000-0000-000005000000}"/>
    <cellStyle name="Percent" xfId="6" builtinId="5"/>
    <cellStyle name="Percent 2" xfId="5" xr:uid="{00000000-0005-0000-0000-000007000000}"/>
    <cellStyle name="Percent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67235</xdr:colOff>
      <xdr:row>1</xdr:row>
      <xdr:rowOff>179295</xdr:rowOff>
    </xdr:from>
    <xdr:ext cx="2286000" cy="435045"/>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4853" y="336177"/>
          <a:ext cx="2286000" cy="435045"/>
        </a:xfrm>
        <a:prstGeom prst="rect">
          <a:avLst/>
        </a:prstGeom>
      </xdr:spPr>
    </xdr:pic>
    <xdr:clientData/>
  </xdr:oneCellAnchor>
  <xdr:twoCellAnchor editAs="oneCell">
    <xdr:from>
      <xdr:col>1</xdr:col>
      <xdr:colOff>2554941</xdr:colOff>
      <xdr:row>1</xdr:row>
      <xdr:rowOff>123265</xdr:rowOff>
    </xdr:from>
    <xdr:to>
      <xdr:col>1</xdr:col>
      <xdr:colOff>3088274</xdr:colOff>
      <xdr:row>1</xdr:row>
      <xdr:rowOff>675646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5132294" y="280147"/>
          <a:ext cx="533333" cy="5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54"/>
  <sheetViews>
    <sheetView showGridLines="0" zoomScale="75" zoomScaleNormal="75" workbookViewId="0">
      <pane xSplit="2" ySplit="6" topLeftCell="N31" activePane="bottomRight" state="frozen"/>
      <selection pane="topRight" activeCell="C1" sqref="C1"/>
      <selection pane="bottomLeft" activeCell="A6" sqref="A6"/>
      <selection pane="bottomRight" activeCell="Q53" sqref="Q53"/>
    </sheetView>
  </sheetViews>
  <sheetFormatPr defaultColWidth="10.8984375" defaultRowHeight="17.399999999999999" x14ac:dyDescent="0.3"/>
  <cols>
    <col min="1" max="1" width="39.59765625" style="77" customWidth="1"/>
    <col min="2" max="2" width="41.09765625" style="77" customWidth="1"/>
    <col min="3" max="6" width="15.5" style="77" customWidth="1"/>
    <col min="7" max="7" width="14.19921875" style="2" customWidth="1"/>
    <col min="8" max="21" width="14.3984375" style="2" customWidth="1"/>
    <col min="22" max="252" width="10.8984375" style="2"/>
  </cols>
  <sheetData>
    <row r="1" spans="1:21" s="7" customFormat="1" ht="12.6" x14ac:dyDescent="0.2">
      <c r="A1" s="72" t="s">
        <v>20</v>
      </c>
      <c r="B1" s="72" t="s">
        <v>21</v>
      </c>
      <c r="C1" s="72"/>
      <c r="D1" s="72"/>
      <c r="E1" s="72"/>
      <c r="F1" s="72"/>
    </row>
    <row r="2" spans="1:21" s="7" customFormat="1" ht="60" customHeight="1" x14ac:dyDescent="0.3">
      <c r="A2" s="73"/>
      <c r="B2" s="73"/>
      <c r="C2" s="74" t="s">
        <v>173</v>
      </c>
      <c r="D2" s="72"/>
      <c r="E2" s="72"/>
      <c r="F2" s="72"/>
      <c r="G2" s="8"/>
      <c r="H2" s="8"/>
      <c r="I2" s="8"/>
      <c r="J2" s="8"/>
    </row>
    <row r="3" spans="1:21" ht="25.5" customHeight="1" x14ac:dyDescent="0.3">
      <c r="A3" s="75" t="s">
        <v>17</v>
      </c>
      <c r="B3" s="76">
        <v>40000000</v>
      </c>
      <c r="D3" s="78"/>
      <c r="E3" s="79" t="s">
        <v>30</v>
      </c>
      <c r="F3" s="80">
        <f>U48</f>
        <v>33216985.238095239</v>
      </c>
      <c r="G3" s="1"/>
      <c r="H3" s="70"/>
    </row>
    <row r="4" spans="1:21" ht="25.5" customHeight="1" x14ac:dyDescent="0.3">
      <c r="A4" s="75" t="s">
        <v>140</v>
      </c>
      <c r="B4" s="82">
        <v>5000</v>
      </c>
      <c r="D4" s="78"/>
      <c r="E4" s="79" t="s">
        <v>142</v>
      </c>
      <c r="F4" s="83">
        <f>B3/(B3-F3)-1</f>
        <v>4.8970828465022338</v>
      </c>
      <c r="G4" s="8"/>
      <c r="H4" s="132" t="s">
        <v>123</v>
      </c>
      <c r="I4" s="133"/>
      <c r="J4" s="133"/>
      <c r="K4" s="133"/>
      <c r="L4" s="133"/>
      <c r="M4" s="133"/>
      <c r="N4" s="133"/>
      <c r="O4" s="133"/>
      <c r="P4" s="133"/>
      <c r="Q4" s="133"/>
      <c r="R4" s="133"/>
      <c r="S4" s="134"/>
    </row>
    <row r="5" spans="1:21" ht="25.5" customHeight="1" x14ac:dyDescent="0.3">
      <c r="A5" s="75" t="s">
        <v>145</v>
      </c>
      <c r="B5" s="84">
        <f>B3/B4</f>
        <v>8000</v>
      </c>
      <c r="D5" s="78"/>
      <c r="E5" s="79" t="s">
        <v>144</v>
      </c>
      <c r="F5" s="80">
        <f>SUM(G33:J33)</f>
        <v>795624.39826839825</v>
      </c>
      <c r="G5" s="1"/>
      <c r="H5" s="135"/>
      <c r="I5" s="136"/>
      <c r="J5" s="136"/>
      <c r="K5" s="136"/>
      <c r="L5" s="136"/>
      <c r="M5" s="136"/>
      <c r="N5" s="136"/>
      <c r="O5" s="136"/>
      <c r="P5" s="136"/>
      <c r="Q5" s="136"/>
      <c r="R5" s="136"/>
      <c r="S5" s="137"/>
    </row>
    <row r="6" spans="1:21" ht="67.5" customHeight="1" x14ac:dyDescent="0.3">
      <c r="A6" s="140" t="s">
        <v>0</v>
      </c>
      <c r="B6" s="141"/>
      <c r="C6" s="85" t="s">
        <v>138</v>
      </c>
      <c r="D6" s="85" t="s">
        <v>158</v>
      </c>
      <c r="E6" s="85" t="s">
        <v>157</v>
      </c>
      <c r="F6" s="85" t="s">
        <v>159</v>
      </c>
      <c r="G6" s="12" t="s">
        <v>28</v>
      </c>
      <c r="H6" s="6" t="s">
        <v>161</v>
      </c>
      <c r="I6" s="6" t="s">
        <v>160</v>
      </c>
      <c r="J6" s="6" t="s">
        <v>7</v>
      </c>
      <c r="K6" s="6" t="s">
        <v>8</v>
      </c>
      <c r="L6" s="6" t="s">
        <v>9</v>
      </c>
      <c r="M6" s="6" t="s">
        <v>10</v>
      </c>
      <c r="N6" s="6" t="s">
        <v>11</v>
      </c>
      <c r="O6" s="6" t="s">
        <v>12</v>
      </c>
      <c r="P6" s="6" t="s">
        <v>13</v>
      </c>
      <c r="Q6" s="6" t="s">
        <v>14</v>
      </c>
      <c r="R6" s="6" t="s">
        <v>15</v>
      </c>
      <c r="S6" s="6" t="s">
        <v>16</v>
      </c>
      <c r="T6" s="12" t="s">
        <v>27</v>
      </c>
      <c r="U6" s="16" t="s">
        <v>29</v>
      </c>
    </row>
    <row r="7" spans="1:21" ht="23.25" customHeight="1" thickBot="1" x14ac:dyDescent="0.35">
      <c r="A7" s="144" t="s">
        <v>141</v>
      </c>
      <c r="B7" s="145"/>
      <c r="C7" s="86"/>
      <c r="D7" s="86"/>
      <c r="E7" s="86"/>
      <c r="F7" s="86"/>
      <c r="G7" s="56"/>
      <c r="H7" s="57">
        <f>ROUND($B$5*Assumptions!B16,0)</f>
        <v>0</v>
      </c>
      <c r="I7" s="57">
        <f>ROUND($B$5*Assumptions!C16,0)</f>
        <v>121</v>
      </c>
      <c r="J7" s="57">
        <f>ROUND($B$5*Assumptions!D16,0)</f>
        <v>242</v>
      </c>
      <c r="K7" s="57">
        <f>ROUND($B$5*Assumptions!E16,0)</f>
        <v>364</v>
      </c>
      <c r="L7" s="57">
        <f>ROUND($B$5*Assumptions!F16,0)</f>
        <v>485</v>
      </c>
      <c r="M7" s="57">
        <f>ROUND($B$5*Assumptions!G16,0)</f>
        <v>606</v>
      </c>
      <c r="N7" s="57">
        <f>ROUND($B$5*Assumptions!H16,0)</f>
        <v>727</v>
      </c>
      <c r="O7" s="57">
        <f>ROUND($B$5*Assumptions!I16,0)</f>
        <v>848</v>
      </c>
      <c r="P7" s="57">
        <f>ROUND($B$5*Assumptions!J16,0)</f>
        <v>970</v>
      </c>
      <c r="Q7" s="57">
        <f>ROUND($B$5*Assumptions!K16,0)</f>
        <v>1091</v>
      </c>
      <c r="R7" s="57">
        <f>ROUND($B$5*Assumptions!L16,0)</f>
        <v>1212</v>
      </c>
      <c r="S7" s="57">
        <f>B5-SUM(H7:R7)</f>
        <v>1334</v>
      </c>
      <c r="T7" s="56"/>
      <c r="U7" s="58">
        <f>SUM(H7:S7)</f>
        <v>8000</v>
      </c>
    </row>
    <row r="8" spans="1:21" ht="23.25" customHeight="1" x14ac:dyDescent="0.3">
      <c r="A8" s="87"/>
      <c r="B8" s="88"/>
      <c r="C8" s="89"/>
      <c r="D8" s="89"/>
      <c r="E8" s="89"/>
      <c r="F8" s="89"/>
      <c r="G8" s="53"/>
      <c r="H8" s="54"/>
      <c r="I8" s="54"/>
      <c r="J8" s="54"/>
      <c r="K8" s="54"/>
      <c r="L8" s="54"/>
      <c r="M8" s="54"/>
      <c r="N8" s="54"/>
      <c r="O8" s="54"/>
      <c r="P8" s="54"/>
      <c r="Q8" s="54"/>
      <c r="R8" s="54"/>
      <c r="S8" s="54"/>
      <c r="T8" s="53"/>
      <c r="U8" s="55"/>
    </row>
    <row r="9" spans="1:21" ht="18.75" customHeight="1" x14ac:dyDescent="0.3">
      <c r="A9" s="142" t="s">
        <v>110</v>
      </c>
      <c r="B9" s="143"/>
      <c r="C9" s="69">
        <v>25000</v>
      </c>
      <c r="D9" s="69"/>
      <c r="E9" s="69"/>
      <c r="F9" s="69">
        <v>20000</v>
      </c>
      <c r="G9" s="13">
        <f>SUM(C9:F9)</f>
        <v>45000</v>
      </c>
      <c r="H9" s="3">
        <v>40000</v>
      </c>
      <c r="I9" s="3"/>
      <c r="J9" s="3"/>
      <c r="K9" s="3"/>
      <c r="L9" s="3"/>
      <c r="M9" s="3"/>
      <c r="N9" s="3"/>
      <c r="O9" s="3"/>
      <c r="P9" s="3"/>
      <c r="Q9" s="3"/>
      <c r="R9" s="3"/>
      <c r="S9" s="3"/>
      <c r="T9" s="13">
        <f>SUM(H9:S9)</f>
        <v>40000</v>
      </c>
      <c r="U9" s="18">
        <f>T9+G9</f>
        <v>85000</v>
      </c>
    </row>
    <row r="10" spans="1:21" x14ac:dyDescent="0.3">
      <c r="A10" s="90" t="s">
        <v>109</v>
      </c>
      <c r="B10" s="91"/>
      <c r="C10" s="69">
        <v>25000</v>
      </c>
      <c r="D10" s="69"/>
      <c r="E10" s="69"/>
      <c r="F10" s="69">
        <v>25000</v>
      </c>
      <c r="G10" s="13">
        <f t="shared" ref="G10:G32" si="0">SUM(C10:F10)</f>
        <v>50000</v>
      </c>
      <c r="H10" s="3"/>
      <c r="I10" s="3"/>
      <c r="J10" s="3"/>
      <c r="K10" s="3"/>
      <c r="L10" s="3"/>
      <c r="M10" s="3"/>
      <c r="N10" s="3"/>
      <c r="O10" s="3"/>
      <c r="P10" s="3"/>
      <c r="Q10" s="3"/>
      <c r="R10" s="3"/>
      <c r="S10" s="3"/>
      <c r="T10" s="13">
        <f t="shared" ref="T10:T32" si="1">SUM(H10:S10)</f>
        <v>0</v>
      </c>
      <c r="U10" s="18">
        <f t="shared" ref="U10:U32" si="2">T10+G10</f>
        <v>50000</v>
      </c>
    </row>
    <row r="11" spans="1:21" x14ac:dyDescent="0.3">
      <c r="A11" s="90" t="s">
        <v>117</v>
      </c>
      <c r="B11" s="92"/>
      <c r="C11" s="93">
        <v>10000</v>
      </c>
      <c r="D11" s="93">
        <v>10000</v>
      </c>
      <c r="E11" s="93">
        <v>10000</v>
      </c>
      <c r="F11" s="93"/>
      <c r="G11" s="13">
        <f t="shared" ref="G11:G12" si="3">SUM(C11:F11)</f>
        <v>30000</v>
      </c>
      <c r="H11" s="3"/>
      <c r="I11" s="3"/>
      <c r="J11" s="3"/>
      <c r="K11" s="3"/>
      <c r="L11" s="3"/>
      <c r="M11" s="3"/>
      <c r="N11" s="3"/>
      <c r="O11" s="3"/>
      <c r="P11" s="3"/>
      <c r="Q11" s="3"/>
      <c r="R11" s="3"/>
      <c r="S11" s="3"/>
      <c r="T11" s="13">
        <f t="shared" ref="T11:T12" si="4">SUM(H11:S11)</f>
        <v>0</v>
      </c>
      <c r="U11" s="18">
        <f t="shared" ref="U11:U12" si="5">T11+G11</f>
        <v>30000</v>
      </c>
    </row>
    <row r="12" spans="1:21" x14ac:dyDescent="0.3">
      <c r="A12" s="127" t="s">
        <v>167</v>
      </c>
      <c r="B12" s="92"/>
      <c r="C12" s="93"/>
      <c r="D12" s="93"/>
      <c r="E12" s="93"/>
      <c r="F12" s="93"/>
      <c r="G12" s="13">
        <f t="shared" si="3"/>
        <v>0</v>
      </c>
      <c r="H12" s="3"/>
      <c r="I12" s="3"/>
      <c r="J12" s="3"/>
      <c r="K12" s="3"/>
      <c r="L12" s="3"/>
      <c r="M12" s="3"/>
      <c r="N12" s="3"/>
      <c r="O12" s="3"/>
      <c r="P12" s="3"/>
      <c r="Q12" s="3"/>
      <c r="R12" s="3"/>
      <c r="S12" s="3">
        <v>30000</v>
      </c>
      <c r="T12" s="13">
        <f t="shared" si="4"/>
        <v>30000</v>
      </c>
      <c r="U12" s="18">
        <f t="shared" si="5"/>
        <v>30000</v>
      </c>
    </row>
    <row r="13" spans="1:21" x14ac:dyDescent="0.3">
      <c r="A13" s="90" t="s">
        <v>139</v>
      </c>
      <c r="B13" s="92"/>
      <c r="C13" s="93">
        <v>20000</v>
      </c>
      <c r="D13" s="93"/>
      <c r="E13" s="93"/>
      <c r="F13" s="93"/>
      <c r="G13" s="13">
        <f t="shared" si="0"/>
        <v>20000</v>
      </c>
      <c r="H13" s="3"/>
      <c r="I13" s="3"/>
      <c r="J13" s="3"/>
      <c r="K13" s="3"/>
      <c r="L13" s="3"/>
      <c r="M13" s="3"/>
      <c r="N13" s="3"/>
      <c r="O13" s="3"/>
      <c r="P13" s="3"/>
      <c r="Q13" s="3"/>
      <c r="R13" s="3"/>
      <c r="S13" s="3"/>
      <c r="T13" s="13">
        <f t="shared" si="1"/>
        <v>0</v>
      </c>
      <c r="U13" s="18">
        <f t="shared" si="2"/>
        <v>20000</v>
      </c>
    </row>
    <row r="14" spans="1:21" ht="17.399999999999999" customHeight="1" x14ac:dyDescent="0.3">
      <c r="A14" s="146" t="s">
        <v>171</v>
      </c>
      <c r="B14" s="147"/>
      <c r="C14" s="69">
        <v>45000</v>
      </c>
      <c r="D14" s="69"/>
      <c r="E14" s="69"/>
      <c r="F14" s="69"/>
      <c r="G14" s="13">
        <f t="shared" ref="G14:G16" si="6">SUM(C14:F14)</f>
        <v>45000</v>
      </c>
      <c r="H14" s="3"/>
      <c r="I14" s="3"/>
      <c r="J14" s="3"/>
      <c r="K14" s="3"/>
      <c r="L14" s="3"/>
      <c r="M14" s="3"/>
      <c r="N14" s="3"/>
      <c r="O14" s="3"/>
      <c r="P14" s="3"/>
      <c r="Q14" s="3"/>
      <c r="R14" s="3"/>
      <c r="S14" s="3"/>
      <c r="T14" s="13">
        <f t="shared" ref="T14:T16" si="7">SUM(H14:S14)</f>
        <v>0</v>
      </c>
      <c r="U14" s="18">
        <f t="shared" ref="U14:U16" si="8">T14+G14</f>
        <v>45000</v>
      </c>
    </row>
    <row r="15" spans="1:21" x14ac:dyDescent="0.3">
      <c r="A15" s="126" t="s">
        <v>164</v>
      </c>
      <c r="B15" s="125"/>
      <c r="C15" s="69"/>
      <c r="D15" s="69"/>
      <c r="E15" s="69"/>
      <c r="F15" s="69"/>
      <c r="G15" s="13">
        <f t="shared" si="6"/>
        <v>0</v>
      </c>
      <c r="H15" s="3"/>
      <c r="I15" s="3"/>
      <c r="J15" s="3">
        <v>5000</v>
      </c>
      <c r="K15" s="3"/>
      <c r="L15" s="3"/>
      <c r="M15" s="3"/>
      <c r="N15" s="3"/>
      <c r="O15" s="3"/>
      <c r="P15" s="3"/>
      <c r="Q15" s="3"/>
      <c r="R15" s="3"/>
      <c r="S15" s="3"/>
      <c r="T15" s="13">
        <f t="shared" si="7"/>
        <v>5000</v>
      </c>
      <c r="U15" s="18">
        <f t="shared" si="8"/>
        <v>5000</v>
      </c>
    </row>
    <row r="16" spans="1:21" x14ac:dyDescent="0.3">
      <c r="A16" s="126" t="s">
        <v>165</v>
      </c>
      <c r="B16" s="125"/>
      <c r="C16" s="69"/>
      <c r="D16" s="69"/>
      <c r="E16" s="69"/>
      <c r="F16" s="69"/>
      <c r="G16" s="13">
        <f t="shared" si="6"/>
        <v>0</v>
      </c>
      <c r="H16" s="3"/>
      <c r="I16" s="3"/>
      <c r="J16" s="3">
        <v>7500</v>
      </c>
      <c r="K16" s="3"/>
      <c r="L16" s="3"/>
      <c r="M16" s="3"/>
      <c r="N16" s="3"/>
      <c r="O16" s="3"/>
      <c r="P16" s="3"/>
      <c r="Q16" s="3"/>
      <c r="R16" s="3"/>
      <c r="S16" s="3"/>
      <c r="T16" s="13">
        <f t="shared" si="7"/>
        <v>7500</v>
      </c>
      <c r="U16" s="18">
        <f t="shared" si="8"/>
        <v>7500</v>
      </c>
    </row>
    <row r="17" spans="1:21" x14ac:dyDescent="0.3">
      <c r="A17" s="126" t="s">
        <v>166</v>
      </c>
      <c r="B17" s="125"/>
      <c r="C17" s="69"/>
      <c r="D17" s="69"/>
      <c r="E17" s="69"/>
      <c r="F17" s="69"/>
      <c r="G17" s="13">
        <f t="shared" ref="G17:G18" si="9">SUM(C17:F17)</f>
        <v>0</v>
      </c>
      <c r="H17" s="3"/>
      <c r="I17" s="3"/>
      <c r="J17" s="3">
        <v>750</v>
      </c>
      <c r="K17" s="3"/>
      <c r="L17" s="3"/>
      <c r="M17" s="3"/>
      <c r="N17" s="3"/>
      <c r="O17" s="3"/>
      <c r="P17" s="3"/>
      <c r="Q17" s="3"/>
      <c r="R17" s="3"/>
      <c r="S17" s="3"/>
      <c r="T17" s="13">
        <f t="shared" ref="T17:T18" si="10">SUM(H17:S17)</f>
        <v>750</v>
      </c>
      <c r="U17" s="18">
        <f t="shared" ref="U17" si="11">T17+G17</f>
        <v>750</v>
      </c>
    </row>
    <row r="18" spans="1:21" x14ac:dyDescent="0.3">
      <c r="A18" s="124" t="s">
        <v>170</v>
      </c>
      <c r="B18" s="125"/>
      <c r="C18" s="69"/>
      <c r="D18" s="69"/>
      <c r="E18" s="69"/>
      <c r="F18" s="69"/>
      <c r="G18" s="13">
        <f t="shared" si="9"/>
        <v>0</v>
      </c>
      <c r="H18" s="3"/>
      <c r="I18" s="3"/>
      <c r="J18" s="3"/>
      <c r="K18" s="3"/>
      <c r="L18" s="3"/>
      <c r="M18" s="3"/>
      <c r="N18" s="3"/>
      <c r="O18" s="3"/>
      <c r="P18" s="3"/>
      <c r="Q18" s="3"/>
      <c r="R18" s="3"/>
      <c r="S18" s="3"/>
      <c r="T18" s="13">
        <f t="shared" si="10"/>
        <v>0</v>
      </c>
      <c r="U18" s="128" t="s">
        <v>172</v>
      </c>
    </row>
    <row r="19" spans="1:21" x14ac:dyDescent="0.3">
      <c r="A19" s="142" t="s">
        <v>111</v>
      </c>
      <c r="B19" s="143"/>
      <c r="C19" s="69">
        <v>3500</v>
      </c>
      <c r="D19" s="69">
        <v>4500</v>
      </c>
      <c r="E19" s="69">
        <v>4500</v>
      </c>
      <c r="F19" s="69">
        <v>4500</v>
      </c>
      <c r="G19" s="13">
        <f t="shared" si="0"/>
        <v>17000</v>
      </c>
      <c r="H19" s="3">
        <v>4500</v>
      </c>
      <c r="I19" s="3">
        <v>4500</v>
      </c>
      <c r="J19" s="3">
        <v>4500</v>
      </c>
      <c r="K19" s="3">
        <v>4500</v>
      </c>
      <c r="L19" s="3">
        <v>4500</v>
      </c>
      <c r="M19" s="3">
        <v>4500</v>
      </c>
      <c r="N19" s="3">
        <v>4500</v>
      </c>
      <c r="O19" s="3">
        <v>4500</v>
      </c>
      <c r="P19" s="3">
        <v>4500</v>
      </c>
      <c r="Q19" s="3">
        <v>4500</v>
      </c>
      <c r="R19" s="3">
        <v>4500</v>
      </c>
      <c r="S19" s="3">
        <v>4500</v>
      </c>
      <c r="T19" s="13">
        <f t="shared" si="1"/>
        <v>54000</v>
      </c>
      <c r="U19" s="18">
        <f t="shared" si="2"/>
        <v>71000</v>
      </c>
    </row>
    <row r="20" spans="1:21" x14ac:dyDescent="0.3">
      <c r="A20" s="94" t="s">
        <v>152</v>
      </c>
      <c r="B20" s="92" t="str">
        <f>IF(Assumptions!B3=0.01,"Silver",IF(Assumptions!B3=0.02,"Gold","Platinum"))&amp;" "&amp;TEXT(Assumptions!B3, "0%")</f>
        <v>Silver 1%</v>
      </c>
      <c r="C20" s="69"/>
      <c r="D20" s="69"/>
      <c r="E20" s="69"/>
      <c r="F20" s="69"/>
      <c r="G20" s="13">
        <f t="shared" ref="G20:G21" si="12">SUM(C20:F20)</f>
        <v>0</v>
      </c>
      <c r="H20" s="3">
        <f>H43*Assumptions!$B$3</f>
        <v>0</v>
      </c>
      <c r="I20" s="3">
        <f>I43*Assumptions!$B$3</f>
        <v>6050</v>
      </c>
      <c r="J20" s="3">
        <f>J43*Assumptions!$B$3</f>
        <v>12100</v>
      </c>
      <c r="K20" s="3">
        <f>K43*Assumptions!$B$3</f>
        <v>18200</v>
      </c>
      <c r="L20" s="3">
        <f>L43*Assumptions!$B$3</f>
        <v>24250</v>
      </c>
      <c r="M20" s="3">
        <f>M43*Assumptions!$B$3</f>
        <v>30300</v>
      </c>
      <c r="N20" s="3">
        <f>N43*Assumptions!$B$3</f>
        <v>36350</v>
      </c>
      <c r="O20" s="3">
        <f>O43*Assumptions!$B$3</f>
        <v>42400</v>
      </c>
      <c r="P20" s="3">
        <f>P43*Assumptions!$B$3</f>
        <v>48500</v>
      </c>
      <c r="Q20" s="3">
        <f>Q43*Assumptions!$B$3</f>
        <v>54550</v>
      </c>
      <c r="R20" s="3">
        <f>R43*Assumptions!$B$3</f>
        <v>60600</v>
      </c>
      <c r="S20" s="3">
        <f>S43*Assumptions!$B$3</f>
        <v>66700</v>
      </c>
      <c r="T20" s="13">
        <f t="shared" ref="T20:T21" si="13">SUM(H20:S20)</f>
        <v>400000</v>
      </c>
      <c r="U20" s="18">
        <f t="shared" ref="U20:U21" si="14">T20+G20</f>
        <v>400000</v>
      </c>
    </row>
    <row r="21" spans="1:21" x14ac:dyDescent="0.3">
      <c r="A21" s="95" t="s">
        <v>154</v>
      </c>
      <c r="B21" s="96"/>
      <c r="C21" s="69">
        <v>5000</v>
      </c>
      <c r="D21" s="69"/>
      <c r="E21" s="69"/>
      <c r="F21" s="69"/>
      <c r="G21" s="13">
        <f t="shared" si="12"/>
        <v>5000</v>
      </c>
      <c r="H21" s="69"/>
      <c r="I21" s="3"/>
      <c r="J21" s="3"/>
      <c r="K21" s="3"/>
      <c r="L21" s="3"/>
      <c r="M21" s="3"/>
      <c r="N21" s="3"/>
      <c r="O21" s="3"/>
      <c r="P21" s="3"/>
      <c r="Q21" s="3"/>
      <c r="R21" s="3"/>
      <c r="S21" s="3"/>
      <c r="T21" s="13">
        <f t="shared" si="13"/>
        <v>0</v>
      </c>
      <c r="U21" s="18">
        <f t="shared" si="14"/>
        <v>5000</v>
      </c>
    </row>
    <row r="22" spans="1:21" x14ac:dyDescent="0.3">
      <c r="A22" s="95" t="s">
        <v>113</v>
      </c>
      <c r="B22" s="91" t="s">
        <v>121</v>
      </c>
      <c r="C22" s="69"/>
      <c r="D22" s="69"/>
      <c r="E22" s="69"/>
      <c r="F22" s="69">
        <f>500+(B3*0.00015)</f>
        <v>6499.9999999999991</v>
      </c>
      <c r="G22" s="13">
        <f t="shared" si="0"/>
        <v>6499.9999999999991</v>
      </c>
      <c r="H22" s="3"/>
      <c r="I22" s="3"/>
      <c r="J22" s="3"/>
      <c r="K22" s="3"/>
      <c r="L22" s="3"/>
      <c r="M22" s="3"/>
      <c r="N22" s="3"/>
      <c r="O22" s="3"/>
      <c r="P22" s="3"/>
      <c r="Q22" s="3"/>
      <c r="R22" s="3"/>
      <c r="S22" s="3"/>
      <c r="T22" s="13">
        <f t="shared" si="1"/>
        <v>0</v>
      </c>
      <c r="U22" s="18">
        <f t="shared" si="2"/>
        <v>6499.9999999999991</v>
      </c>
    </row>
    <row r="23" spans="1:21" x14ac:dyDescent="0.3">
      <c r="A23" s="95" t="s">
        <v>114</v>
      </c>
      <c r="B23" s="91"/>
      <c r="C23" s="69"/>
      <c r="D23" s="69"/>
      <c r="E23" s="69"/>
      <c r="F23" s="69">
        <v>18000</v>
      </c>
      <c r="G23" s="13">
        <f t="shared" si="0"/>
        <v>18000</v>
      </c>
      <c r="H23" s="3"/>
      <c r="I23" s="3"/>
      <c r="J23" s="3"/>
      <c r="K23" s="3"/>
      <c r="L23" s="3"/>
      <c r="M23" s="3"/>
      <c r="N23" s="3"/>
      <c r="O23" s="3"/>
      <c r="P23" s="3"/>
      <c r="Q23" s="3"/>
      <c r="R23" s="3"/>
      <c r="S23" s="3"/>
      <c r="T23" s="13">
        <f t="shared" si="1"/>
        <v>0</v>
      </c>
      <c r="U23" s="18">
        <f t="shared" si="2"/>
        <v>18000</v>
      </c>
    </row>
    <row r="24" spans="1:21" ht="19.5" customHeight="1" x14ac:dyDescent="0.3">
      <c r="A24" s="95" t="s">
        <v>130</v>
      </c>
      <c r="B24" s="91"/>
      <c r="C24" s="69"/>
      <c r="D24" s="69"/>
      <c r="E24" s="69"/>
      <c r="F24" s="69"/>
      <c r="G24" s="13">
        <f t="shared" si="0"/>
        <v>0</v>
      </c>
      <c r="H24" s="3">
        <f>ROUND(H7*Assumptions!$B$10,0)</f>
        <v>0</v>
      </c>
      <c r="I24" s="3">
        <f>ROUND(I7*Assumptions!$B$10,0)</f>
        <v>81</v>
      </c>
      <c r="J24" s="3">
        <f>ROUND(J7*Assumptions!$B$10,0)</f>
        <v>162</v>
      </c>
      <c r="K24" s="3">
        <f>ROUND(K7*Assumptions!$B$10,0)</f>
        <v>244</v>
      </c>
      <c r="L24" s="3">
        <f>ROUND(L7*Assumptions!$B$10,0)</f>
        <v>325</v>
      </c>
      <c r="M24" s="3">
        <f>ROUND(M7*Assumptions!$B$10,0)</f>
        <v>406</v>
      </c>
      <c r="N24" s="3">
        <f>ROUND(N7*Assumptions!$B$10,0)</f>
        <v>487</v>
      </c>
      <c r="O24" s="3">
        <f>ROUND(O7*Assumptions!$B$10,0)</f>
        <v>568</v>
      </c>
      <c r="P24" s="3">
        <f>ROUND(P7*Assumptions!$B$10,0)</f>
        <v>650</v>
      </c>
      <c r="Q24" s="3">
        <f>ROUND(Q7*Assumptions!$B$10,0)</f>
        <v>731</v>
      </c>
      <c r="R24" s="3">
        <f>ROUND(R7*Assumptions!$B$10,0)</f>
        <v>812</v>
      </c>
      <c r="S24" s="3">
        <f>ROUND(S7*Assumptions!$B$10,0)</f>
        <v>894</v>
      </c>
      <c r="T24" s="13">
        <f t="shared" si="1"/>
        <v>5360</v>
      </c>
      <c r="U24" s="18">
        <f t="shared" si="2"/>
        <v>5360</v>
      </c>
    </row>
    <row r="25" spans="1:21" ht="19.5" customHeight="1" x14ac:dyDescent="0.3">
      <c r="A25" s="138" t="s">
        <v>128</v>
      </c>
      <c r="B25" s="139"/>
      <c r="C25" s="97"/>
      <c r="D25" s="69"/>
      <c r="E25" s="69"/>
      <c r="F25" s="69"/>
      <c r="G25" s="13">
        <f t="shared" si="0"/>
        <v>0</v>
      </c>
      <c r="H25" s="3">
        <f>(H45*Assumptions!$B$6*Assumptions!$B$7)+(H7*Assumptions!$B$8*(1-Assumptions!$B$6)/2)+(H7*Assumptions!B9*(1-Assumptions!$B$6)/2)</f>
        <v>0</v>
      </c>
      <c r="I25" s="3">
        <f>(I45*Assumptions!$B$6*Assumptions!$B$7)+(I7*Assumptions!$B$8*(1-Assumptions!$B$6)/2)+(I7*Assumptions!C9*(1-Assumptions!$B$6)/2)</f>
        <v>13431</v>
      </c>
      <c r="J25" s="3">
        <f>(J45*Assumptions!$B$6*Assumptions!$B$7)+(J7*Assumptions!$B$8*(1-Assumptions!$B$6)/2)+(J7*Assumptions!D9*(1-Assumptions!$B$6)/2)</f>
        <v>26862</v>
      </c>
      <c r="K25" s="3">
        <f>(K45*Assumptions!$B$6*Assumptions!$B$7)+(K7*Assumptions!$B$8*(1-Assumptions!$B$6)/2)+(K7*Assumptions!E9*(1-Assumptions!$B$6)/2)</f>
        <v>40404</v>
      </c>
      <c r="L25" s="3">
        <f>(L45*Assumptions!$B$6*Assumptions!$B$7)+(L7*Assumptions!$B$8*(1-Assumptions!$B$6)/2)+(L7*Assumptions!F9*(1-Assumptions!$B$6)/2)</f>
        <v>53835</v>
      </c>
      <c r="M25" s="3">
        <f>(M45*Assumptions!$B$6*Assumptions!$B$7)+(M7*Assumptions!$B$8*(1-Assumptions!$B$6)/2)+(M7*Assumptions!G9*(1-Assumptions!$B$6)/2)</f>
        <v>67266</v>
      </c>
      <c r="N25" s="3">
        <f>(N45*Assumptions!$B$6*Assumptions!$B$7)+(N7*Assumptions!$B$8*(1-Assumptions!$B$6)/2)+(N7*Assumptions!H9*(1-Assumptions!$B$6)/2)</f>
        <v>80697</v>
      </c>
      <c r="O25" s="3">
        <f>(O45*Assumptions!$B$6*Assumptions!$B$7)+(O7*Assumptions!$B$8*(1-Assumptions!$B$6)/2)+(O7*Assumptions!I9*(1-Assumptions!$B$6)/2)</f>
        <v>94128</v>
      </c>
      <c r="P25" s="3">
        <f>(P45*Assumptions!$B$6*Assumptions!$B$7)+(P7*Assumptions!$B$8*(1-Assumptions!$B$6)/2)+(P7*Assumptions!J9*(1-Assumptions!$B$6)/2)</f>
        <v>107670</v>
      </c>
      <c r="Q25" s="3">
        <f>(Q45*Assumptions!$B$6*Assumptions!$B$7)+(Q7*Assumptions!$B$8*(1-Assumptions!$B$6)/2)+(Q7*Assumptions!K9*(1-Assumptions!$B$6)/2)</f>
        <v>121101</v>
      </c>
      <c r="R25" s="3">
        <f>(R45*Assumptions!$B$6*Assumptions!$B$7)+(R7*Assumptions!$B$8*(1-Assumptions!$B$6)/2)+(R7*Assumptions!L9*(1-Assumptions!$B$6)/2)</f>
        <v>134532</v>
      </c>
      <c r="S25" s="3">
        <f>(S45*Assumptions!$B$6*Assumptions!$B$7)+(S7*Assumptions!$B$8*(1-Assumptions!$B$6)/2)+(S7*Assumptions!M9*(1-Assumptions!$B$6)/2)</f>
        <v>148074</v>
      </c>
      <c r="T25" s="13">
        <f t="shared" si="1"/>
        <v>888000</v>
      </c>
      <c r="U25" s="18">
        <f t="shared" si="2"/>
        <v>888000</v>
      </c>
    </row>
    <row r="26" spans="1:21" ht="19.5" customHeight="1" x14ac:dyDescent="0.3">
      <c r="A26" s="122" t="s">
        <v>132</v>
      </c>
      <c r="B26" s="123"/>
      <c r="C26" s="69"/>
      <c r="D26" s="69"/>
      <c r="E26" s="69"/>
      <c r="F26" s="69"/>
      <c r="G26" s="13">
        <f t="shared" si="0"/>
        <v>0</v>
      </c>
      <c r="H26" s="3"/>
      <c r="I26" s="3">
        <v>9000</v>
      </c>
      <c r="J26" s="3"/>
      <c r="K26" s="3"/>
      <c r="L26" s="3"/>
      <c r="M26" s="3"/>
      <c r="N26" s="3"/>
      <c r="O26" s="3"/>
      <c r="P26" s="3"/>
      <c r="Q26" s="3"/>
      <c r="R26" s="3"/>
      <c r="S26" s="3"/>
      <c r="T26" s="13">
        <f t="shared" si="1"/>
        <v>9000</v>
      </c>
      <c r="U26" s="18">
        <f t="shared" si="2"/>
        <v>9000</v>
      </c>
    </row>
    <row r="27" spans="1:21" ht="19.5" customHeight="1" x14ac:dyDescent="0.3">
      <c r="A27" s="122" t="s">
        <v>119</v>
      </c>
      <c r="B27" s="123"/>
      <c r="C27" s="69"/>
      <c r="D27" s="69"/>
      <c r="E27" s="69"/>
      <c r="F27" s="69"/>
      <c r="G27" s="13">
        <f t="shared" ref="G27" si="15">SUM(C27:F27)</f>
        <v>0</v>
      </c>
      <c r="H27" s="69">
        <f>H43*Assumptions!$B$4*Assumptions!$B$5</f>
        <v>0</v>
      </c>
      <c r="I27" s="69">
        <f>I43*Assumptions!$B$4*Assumptions!$B$5</f>
        <v>4840</v>
      </c>
      <c r="J27" s="3">
        <f>J43*Assumptions!$B$4*Assumptions!$B$5</f>
        <v>9680</v>
      </c>
      <c r="K27" s="3">
        <f>K43*Assumptions!$B$4*Assumptions!$B$5</f>
        <v>14560</v>
      </c>
      <c r="L27" s="3">
        <f>L43*Assumptions!$B$4*Assumptions!$B$5</f>
        <v>19400</v>
      </c>
      <c r="M27" s="3">
        <f>M43*Assumptions!$B$4*Assumptions!$B$5</f>
        <v>24240</v>
      </c>
      <c r="N27" s="3">
        <f>N43*Assumptions!$B$4*Assumptions!$B$5</f>
        <v>29080</v>
      </c>
      <c r="O27" s="3">
        <f>O43*Assumptions!$B$4*Assumptions!$B$5</f>
        <v>33920</v>
      </c>
      <c r="P27" s="3">
        <f>P43*Assumptions!$B$4*Assumptions!$B$5</f>
        <v>38800</v>
      </c>
      <c r="Q27" s="3">
        <f>Q43*Assumptions!$B$4*Assumptions!$B$5</f>
        <v>43640</v>
      </c>
      <c r="R27" s="3">
        <f>R43*Assumptions!$B$4*Assumptions!$B$5</f>
        <v>48480</v>
      </c>
      <c r="S27" s="3">
        <f>S43*Assumptions!$B$4*Assumptions!$B$5</f>
        <v>53360</v>
      </c>
      <c r="T27" s="13">
        <f t="shared" ref="T27" si="16">SUM(H27:S27)</f>
        <v>320000</v>
      </c>
      <c r="U27" s="18">
        <f t="shared" ref="U27" si="17">T27+G27</f>
        <v>320000</v>
      </c>
    </row>
    <row r="28" spans="1:21" ht="19.5" customHeight="1" x14ac:dyDescent="0.3">
      <c r="A28" s="122" t="s">
        <v>146</v>
      </c>
      <c r="B28" s="98"/>
      <c r="C28" s="69"/>
      <c r="D28" s="69"/>
      <c r="E28" s="69"/>
      <c r="F28" s="69"/>
      <c r="G28" s="13">
        <f t="shared" ref="G28" si="18">SUM(C28:F28)</f>
        <v>0</v>
      </c>
      <c r="H28" s="69">
        <f>(H43*Assumptions!$B$11)-H20</f>
        <v>0</v>
      </c>
      <c r="I28" s="69">
        <f>(I43*Assumptions!$B$11)-I20</f>
        <v>6050</v>
      </c>
      <c r="J28" s="3">
        <f>(J43*Assumptions!$B$11)-J20</f>
        <v>12100</v>
      </c>
      <c r="K28" s="3">
        <f>(K43*Assumptions!$B$11)-K20</f>
        <v>18200</v>
      </c>
      <c r="L28" s="3">
        <f>(L43*Assumptions!$B$11)-L20</f>
        <v>24250</v>
      </c>
      <c r="M28" s="3">
        <f>(M43*Assumptions!$B$11)-M20</f>
        <v>30300</v>
      </c>
      <c r="N28" s="3">
        <f>(N43*Assumptions!$B$11)-N20</f>
        <v>36350</v>
      </c>
      <c r="O28" s="3">
        <f>(O43*Assumptions!$B$11)-O20</f>
        <v>42400</v>
      </c>
      <c r="P28" s="3">
        <f>(P43*Assumptions!$B$11)-P20</f>
        <v>48500</v>
      </c>
      <c r="Q28" s="3">
        <f>(Q43*Assumptions!$B$11)-Q20</f>
        <v>54550</v>
      </c>
      <c r="R28" s="3">
        <f>(R43*Assumptions!$B$11)-R20</f>
        <v>60600</v>
      </c>
      <c r="S28" s="3">
        <f>(S43*Assumptions!$B$11)-S20</f>
        <v>66700</v>
      </c>
      <c r="T28" s="13">
        <f t="shared" ref="T28" si="19">SUM(H28:S28)</f>
        <v>400000</v>
      </c>
      <c r="U28" s="18">
        <f t="shared" ref="U28" si="20">T28+G28</f>
        <v>400000</v>
      </c>
    </row>
    <row r="29" spans="1:21" x14ac:dyDescent="0.3">
      <c r="A29" s="142" t="s">
        <v>155</v>
      </c>
      <c r="B29" s="143"/>
      <c r="C29" s="69">
        <f>MAX(25000,ROUNDUP(25000+(($B$3-30000000)*0.0005),-3))</f>
        <v>30000</v>
      </c>
      <c r="D29" s="69">
        <f t="shared" ref="D29:S29" si="21">MAX(25000,ROUNDUP(25000+(($B$3-30000000)*0.0005),-3))</f>
        <v>30000</v>
      </c>
      <c r="E29" s="69">
        <f t="shared" si="21"/>
        <v>30000</v>
      </c>
      <c r="F29" s="69">
        <f t="shared" si="21"/>
        <v>30000</v>
      </c>
      <c r="G29" s="13">
        <f t="shared" si="0"/>
        <v>120000</v>
      </c>
      <c r="H29" s="69">
        <v>10000</v>
      </c>
      <c r="I29" s="69">
        <f t="shared" si="21"/>
        <v>30000</v>
      </c>
      <c r="J29" s="3">
        <f t="shared" si="21"/>
        <v>30000</v>
      </c>
      <c r="K29" s="3">
        <f t="shared" si="21"/>
        <v>30000</v>
      </c>
      <c r="L29" s="3">
        <f t="shared" si="21"/>
        <v>30000</v>
      </c>
      <c r="M29" s="3">
        <f t="shared" si="21"/>
        <v>30000</v>
      </c>
      <c r="N29" s="3">
        <f t="shared" si="21"/>
        <v>30000</v>
      </c>
      <c r="O29" s="3">
        <f t="shared" si="21"/>
        <v>30000</v>
      </c>
      <c r="P29" s="3">
        <f t="shared" si="21"/>
        <v>30000</v>
      </c>
      <c r="Q29" s="3">
        <f t="shared" si="21"/>
        <v>30000</v>
      </c>
      <c r="R29" s="3">
        <f t="shared" si="21"/>
        <v>30000</v>
      </c>
      <c r="S29" s="3">
        <f t="shared" si="21"/>
        <v>30000</v>
      </c>
      <c r="T29" s="13">
        <f t="shared" si="1"/>
        <v>340000</v>
      </c>
      <c r="U29" s="18">
        <f t="shared" si="2"/>
        <v>460000</v>
      </c>
    </row>
    <row r="30" spans="1:21" x14ac:dyDescent="0.3">
      <c r="A30" s="90" t="s">
        <v>69</v>
      </c>
      <c r="B30" s="91"/>
      <c r="C30" s="97"/>
      <c r="D30" s="97"/>
      <c r="E30" s="97"/>
      <c r="F30" s="97"/>
      <c r="G30" s="13">
        <f t="shared" si="0"/>
        <v>0</v>
      </c>
      <c r="H30" s="69">
        <f>'Investor Acquisition Detail'!$B$29*Assumptions!B16</f>
        <v>0</v>
      </c>
      <c r="I30" s="69">
        <f>'Investor Acquisition Detail'!$B$29*Assumptions!C16</f>
        <v>58589.46608946607</v>
      </c>
      <c r="J30" s="3">
        <f>'Investor Acquisition Detail'!$B$29*Assumptions!D16</f>
        <v>117178.93217893214</v>
      </c>
      <c r="K30" s="3">
        <f>'Investor Acquisition Detail'!$B$29*Assumptions!E16</f>
        <v>175768.39826839822</v>
      </c>
      <c r="L30" s="3">
        <f>'Investor Acquisition Detail'!$B$29*Assumptions!F16</f>
        <v>234357.86435786428</v>
      </c>
      <c r="M30" s="3">
        <f>'Investor Acquisition Detail'!$B$29*Assumptions!G16</f>
        <v>292947.33044733031</v>
      </c>
      <c r="N30" s="3">
        <f>'Investor Acquisition Detail'!$B$29*Assumptions!H16</f>
        <v>351536.79653679644</v>
      </c>
      <c r="O30" s="3">
        <f>'Investor Acquisition Detail'!$B$29*Assumptions!I16</f>
        <v>410126.26262626244</v>
      </c>
      <c r="P30" s="3">
        <f>'Investor Acquisition Detail'!$B$29*Assumptions!J16</f>
        <v>468715.72871572856</v>
      </c>
      <c r="Q30" s="3">
        <f>'Investor Acquisition Detail'!$B$29*Assumptions!K16</f>
        <v>527305.19480519462</v>
      </c>
      <c r="R30" s="3">
        <f>'Investor Acquisition Detail'!$B$29*Assumptions!L16</f>
        <v>585894.66089466063</v>
      </c>
      <c r="S30" s="3">
        <f>'Investor Acquisition Detail'!$B$29*Assumptions!M16</f>
        <v>644484.12698412675</v>
      </c>
      <c r="T30" s="13">
        <f t="shared" si="1"/>
        <v>3866904.7619047607</v>
      </c>
      <c r="U30" s="18">
        <f t="shared" si="2"/>
        <v>3866904.7619047607</v>
      </c>
    </row>
    <row r="31" spans="1:21" x14ac:dyDescent="0.3">
      <c r="A31" s="90" t="s">
        <v>137</v>
      </c>
      <c r="B31" s="91"/>
      <c r="C31" s="97">
        <v>500</v>
      </c>
      <c r="D31" s="97">
        <v>500</v>
      </c>
      <c r="E31" s="97">
        <v>500</v>
      </c>
      <c r="F31" s="97">
        <v>500</v>
      </c>
      <c r="G31" s="13">
        <f t="shared" si="0"/>
        <v>2000</v>
      </c>
      <c r="H31" s="97">
        <v>500</v>
      </c>
      <c r="I31" s="97">
        <v>500</v>
      </c>
      <c r="J31" s="4">
        <v>500</v>
      </c>
      <c r="K31" s="4">
        <v>500</v>
      </c>
      <c r="L31" s="4">
        <v>500</v>
      </c>
      <c r="M31" s="4">
        <v>500</v>
      </c>
      <c r="N31" s="4">
        <v>500</v>
      </c>
      <c r="O31" s="4">
        <v>500</v>
      </c>
      <c r="P31" s="4">
        <v>500</v>
      </c>
      <c r="Q31" s="4">
        <v>500</v>
      </c>
      <c r="R31" s="4">
        <v>500</v>
      </c>
      <c r="S31" s="4">
        <v>500</v>
      </c>
      <c r="T31" s="13">
        <f t="shared" si="1"/>
        <v>6000</v>
      </c>
      <c r="U31" s="18">
        <f t="shared" si="2"/>
        <v>8000</v>
      </c>
    </row>
    <row r="32" spans="1:21" ht="17.25" customHeight="1" x14ac:dyDescent="0.3">
      <c r="A32" s="151" t="s">
        <v>136</v>
      </c>
      <c r="B32" s="152"/>
      <c r="C32" s="69">
        <f>50*65</f>
        <v>3250</v>
      </c>
      <c r="D32" s="69">
        <f t="shared" ref="D32:S32" si="22">50*65</f>
        <v>3250</v>
      </c>
      <c r="E32" s="69">
        <f t="shared" si="22"/>
        <v>3250</v>
      </c>
      <c r="F32" s="69">
        <f t="shared" si="22"/>
        <v>3250</v>
      </c>
      <c r="G32" s="13">
        <f t="shared" si="0"/>
        <v>13000</v>
      </c>
      <c r="H32" s="3">
        <f t="shared" si="22"/>
        <v>3250</v>
      </c>
      <c r="I32" s="3">
        <f t="shared" si="22"/>
        <v>3250</v>
      </c>
      <c r="J32" s="3">
        <f t="shared" si="22"/>
        <v>3250</v>
      </c>
      <c r="K32" s="3">
        <f t="shared" si="22"/>
        <v>3250</v>
      </c>
      <c r="L32" s="3">
        <f t="shared" si="22"/>
        <v>3250</v>
      </c>
      <c r="M32" s="3">
        <f t="shared" si="22"/>
        <v>3250</v>
      </c>
      <c r="N32" s="3">
        <f t="shared" si="22"/>
        <v>3250</v>
      </c>
      <c r="O32" s="3">
        <f t="shared" si="22"/>
        <v>3250</v>
      </c>
      <c r="P32" s="3">
        <f t="shared" si="22"/>
        <v>3250</v>
      </c>
      <c r="Q32" s="3">
        <f t="shared" si="22"/>
        <v>3250</v>
      </c>
      <c r="R32" s="3">
        <f t="shared" si="22"/>
        <v>3250</v>
      </c>
      <c r="S32" s="3">
        <f t="shared" si="22"/>
        <v>3250</v>
      </c>
      <c r="T32" s="13">
        <f t="shared" si="1"/>
        <v>39000</v>
      </c>
      <c r="U32" s="18">
        <f t="shared" si="2"/>
        <v>52000</v>
      </c>
    </row>
    <row r="33" spans="1:21" ht="23.1" customHeight="1" x14ac:dyDescent="0.3">
      <c r="A33" s="148" t="s">
        <v>19</v>
      </c>
      <c r="B33" s="149"/>
      <c r="C33" s="99">
        <f t="shared" ref="C33:U33" si="23">SUM(C8:C32)</f>
        <v>167250</v>
      </c>
      <c r="D33" s="99">
        <f t="shared" si="23"/>
        <v>48250</v>
      </c>
      <c r="E33" s="99">
        <f t="shared" si="23"/>
        <v>48250</v>
      </c>
      <c r="F33" s="99">
        <f t="shared" si="23"/>
        <v>107750</v>
      </c>
      <c r="G33" s="14">
        <f t="shared" si="23"/>
        <v>371500</v>
      </c>
      <c r="H33" s="5">
        <f t="shared" si="23"/>
        <v>58250</v>
      </c>
      <c r="I33" s="5">
        <f t="shared" si="23"/>
        <v>136291.46608946606</v>
      </c>
      <c r="J33" s="5">
        <f t="shared" si="23"/>
        <v>229582.93217893213</v>
      </c>
      <c r="K33" s="5">
        <f t="shared" si="23"/>
        <v>305626.39826839825</v>
      </c>
      <c r="L33" s="5">
        <f t="shared" si="23"/>
        <v>394667.86435786425</v>
      </c>
      <c r="M33" s="5">
        <f t="shared" si="23"/>
        <v>483709.33044733031</v>
      </c>
      <c r="N33" s="5">
        <f t="shared" si="23"/>
        <v>572750.79653679649</v>
      </c>
      <c r="O33" s="5">
        <f t="shared" si="23"/>
        <v>661792.26262626238</v>
      </c>
      <c r="P33" s="5">
        <f t="shared" si="23"/>
        <v>751085.7287157285</v>
      </c>
      <c r="Q33" s="5">
        <f t="shared" si="23"/>
        <v>840127.19480519462</v>
      </c>
      <c r="R33" s="5">
        <f t="shared" si="23"/>
        <v>929168.66089466063</v>
      </c>
      <c r="S33" s="5">
        <f t="shared" si="23"/>
        <v>1048462.1269841267</v>
      </c>
      <c r="T33" s="14">
        <f t="shared" si="23"/>
        <v>6411514.7619047612</v>
      </c>
      <c r="U33" s="17">
        <f t="shared" si="23"/>
        <v>6783014.7619047612</v>
      </c>
    </row>
    <row r="34" spans="1:21" ht="15.6" customHeight="1" x14ac:dyDescent="0.3"/>
    <row r="35" spans="1:21" ht="15.6" hidden="1" customHeight="1" x14ac:dyDescent="0.3"/>
    <row r="36" spans="1:21" ht="15.6" hidden="1" customHeight="1" x14ac:dyDescent="0.3">
      <c r="A36" s="81" t="s">
        <v>1</v>
      </c>
      <c r="B36" s="81"/>
    </row>
    <row r="37" spans="1:21" ht="15.6" hidden="1" customHeight="1" x14ac:dyDescent="0.3">
      <c r="A37" s="81" t="s">
        <v>2</v>
      </c>
      <c r="B37" s="81"/>
    </row>
    <row r="38" spans="1:21" ht="15.6" hidden="1" customHeight="1" x14ac:dyDescent="0.3">
      <c r="A38" s="81" t="s">
        <v>3</v>
      </c>
      <c r="B38" s="81"/>
    </row>
    <row r="39" spans="1:21" ht="15.6" hidden="1" customHeight="1" x14ac:dyDescent="0.3">
      <c r="A39" s="81" t="s">
        <v>4</v>
      </c>
      <c r="B39" s="81"/>
    </row>
    <row r="40" spans="1:21" ht="15.6" hidden="1" customHeight="1" x14ac:dyDescent="0.3"/>
    <row r="41" spans="1:21" ht="15.6" hidden="1" customHeight="1" x14ac:dyDescent="0.3"/>
    <row r="42" spans="1:21" x14ac:dyDescent="0.3">
      <c r="A42" s="153" t="s">
        <v>23</v>
      </c>
      <c r="B42" s="154"/>
      <c r="C42" s="100"/>
      <c r="D42" s="100"/>
      <c r="E42" s="100"/>
      <c r="F42" s="100"/>
      <c r="G42" s="9"/>
      <c r="H42" s="9"/>
      <c r="I42" s="9"/>
      <c r="J42" s="9"/>
      <c r="K42" s="9"/>
      <c r="L42" s="9"/>
      <c r="M42" s="9"/>
      <c r="N42" s="9"/>
      <c r="O42" s="9"/>
      <c r="P42" s="9"/>
      <c r="Q42" s="9"/>
      <c r="R42" s="9"/>
      <c r="S42" s="9"/>
      <c r="T42" s="9"/>
      <c r="U42" s="10"/>
    </row>
    <row r="43" spans="1:21" x14ac:dyDescent="0.3">
      <c r="A43" s="150" t="s">
        <v>24</v>
      </c>
      <c r="B43" s="150"/>
      <c r="C43" s="69"/>
      <c r="D43" s="69"/>
      <c r="E43" s="69"/>
      <c r="F43" s="69"/>
      <c r="G43" s="13"/>
      <c r="H43" s="3">
        <f t="shared" ref="H43:S43" si="24">H7*$B$4</f>
        <v>0</v>
      </c>
      <c r="I43" s="3">
        <f t="shared" si="24"/>
        <v>605000</v>
      </c>
      <c r="J43" s="3">
        <f t="shared" si="24"/>
        <v>1210000</v>
      </c>
      <c r="K43" s="3">
        <f t="shared" si="24"/>
        <v>1820000</v>
      </c>
      <c r="L43" s="3">
        <f t="shared" si="24"/>
        <v>2425000</v>
      </c>
      <c r="M43" s="3">
        <f t="shared" si="24"/>
        <v>3030000</v>
      </c>
      <c r="N43" s="3">
        <f t="shared" si="24"/>
        <v>3635000</v>
      </c>
      <c r="O43" s="3">
        <f t="shared" si="24"/>
        <v>4240000</v>
      </c>
      <c r="P43" s="3">
        <f t="shared" si="24"/>
        <v>4850000</v>
      </c>
      <c r="Q43" s="3">
        <f t="shared" si="24"/>
        <v>5455000</v>
      </c>
      <c r="R43" s="3">
        <f t="shared" si="24"/>
        <v>6060000</v>
      </c>
      <c r="S43" s="3">
        <f t="shared" si="24"/>
        <v>6670000</v>
      </c>
      <c r="T43" s="13">
        <f>SUM(H43:S43)</f>
        <v>40000000</v>
      </c>
      <c r="U43" s="18">
        <f>T43+G43</f>
        <v>40000000</v>
      </c>
    </row>
    <row r="44" spans="1:21" x14ac:dyDescent="0.3">
      <c r="A44" s="150" t="s">
        <v>31</v>
      </c>
      <c r="B44" s="150"/>
      <c r="C44" s="69"/>
      <c r="D44" s="69"/>
      <c r="E44" s="69">
        <v>0</v>
      </c>
      <c r="F44" s="69">
        <v>0</v>
      </c>
      <c r="G44" s="13">
        <f>SUM(C44:F44)</f>
        <v>0</v>
      </c>
      <c r="H44" s="3">
        <v>0</v>
      </c>
      <c r="I44" s="3">
        <v>0</v>
      </c>
      <c r="J44" s="3">
        <v>0</v>
      </c>
      <c r="K44" s="3">
        <v>0</v>
      </c>
      <c r="L44" s="3">
        <v>0</v>
      </c>
      <c r="M44" s="3">
        <v>0</v>
      </c>
      <c r="N44" s="3">
        <v>0</v>
      </c>
      <c r="O44" s="3">
        <v>0</v>
      </c>
      <c r="P44" s="3">
        <v>0</v>
      </c>
      <c r="Q44" s="3">
        <v>0</v>
      </c>
      <c r="R44" s="3">
        <v>0</v>
      </c>
      <c r="S44" s="3">
        <v>0</v>
      </c>
      <c r="T44" s="13">
        <f>SUM(H44:S44)</f>
        <v>0</v>
      </c>
      <c r="U44" s="18">
        <f>T44+G44</f>
        <v>0</v>
      </c>
    </row>
    <row r="45" spans="1:21" ht="23.1" customHeight="1" x14ac:dyDescent="0.3">
      <c r="A45" s="148" t="s">
        <v>22</v>
      </c>
      <c r="B45" s="149"/>
      <c r="C45" s="99">
        <f>SUM(C43:C44)</f>
        <v>0</v>
      </c>
      <c r="D45" s="99">
        <f>SUM(D43:D44)</f>
        <v>0</v>
      </c>
      <c r="E45" s="99">
        <f>SUM(E43:E44)</f>
        <v>0</v>
      </c>
      <c r="F45" s="99">
        <f>SUM(F43:F44)</f>
        <v>0</v>
      </c>
      <c r="G45" s="14">
        <f>SUM(G43:G44)</f>
        <v>0</v>
      </c>
      <c r="H45" s="5">
        <f t="shared" ref="H45:U45" si="25">SUM(H43:H44)</f>
        <v>0</v>
      </c>
      <c r="I45" s="5">
        <f t="shared" si="25"/>
        <v>605000</v>
      </c>
      <c r="J45" s="5">
        <f t="shared" si="25"/>
        <v>1210000</v>
      </c>
      <c r="K45" s="5">
        <f t="shared" si="25"/>
        <v>1820000</v>
      </c>
      <c r="L45" s="5">
        <f t="shared" si="25"/>
        <v>2425000</v>
      </c>
      <c r="M45" s="5">
        <f t="shared" si="25"/>
        <v>3030000</v>
      </c>
      <c r="N45" s="5">
        <f t="shared" si="25"/>
        <v>3635000</v>
      </c>
      <c r="O45" s="5">
        <f t="shared" si="25"/>
        <v>4240000</v>
      </c>
      <c r="P45" s="5">
        <f t="shared" si="25"/>
        <v>4850000</v>
      </c>
      <c r="Q45" s="5">
        <f t="shared" si="25"/>
        <v>5455000</v>
      </c>
      <c r="R45" s="5">
        <f t="shared" si="25"/>
        <v>6060000</v>
      </c>
      <c r="S45" s="5">
        <f t="shared" si="25"/>
        <v>6670000</v>
      </c>
      <c r="T45" s="14">
        <f t="shared" si="25"/>
        <v>40000000</v>
      </c>
      <c r="U45" s="17">
        <f t="shared" si="25"/>
        <v>40000000</v>
      </c>
    </row>
    <row r="46" spans="1:21" x14ac:dyDescent="0.3">
      <c r="A46" s="155"/>
      <c r="B46" s="155"/>
    </row>
    <row r="47" spans="1:21" ht="23.1" customHeight="1" x14ac:dyDescent="0.3">
      <c r="A47" s="148" t="s">
        <v>26</v>
      </c>
      <c r="B47" s="149"/>
      <c r="C47" s="101">
        <f>C45-C33</f>
        <v>-167250</v>
      </c>
      <c r="D47" s="101">
        <f t="shared" ref="D47:F47" si="26">D45-D33</f>
        <v>-48250</v>
      </c>
      <c r="E47" s="101">
        <f t="shared" si="26"/>
        <v>-48250</v>
      </c>
      <c r="F47" s="101">
        <f t="shared" si="26"/>
        <v>-107750</v>
      </c>
      <c r="G47" s="15"/>
      <c r="H47" s="11">
        <f t="shared" ref="H47:S47" si="27">H45-H33</f>
        <v>-58250</v>
      </c>
      <c r="I47" s="11">
        <f t="shared" si="27"/>
        <v>468708.53391053394</v>
      </c>
      <c r="J47" s="11">
        <f t="shared" si="27"/>
        <v>980417.06782106787</v>
      </c>
      <c r="K47" s="11">
        <f t="shared" si="27"/>
        <v>1514373.6017316016</v>
      </c>
      <c r="L47" s="11">
        <f t="shared" si="27"/>
        <v>2030332.1356421357</v>
      </c>
      <c r="M47" s="11">
        <f t="shared" si="27"/>
        <v>2546290.6695526699</v>
      </c>
      <c r="N47" s="11">
        <f t="shared" si="27"/>
        <v>3062249.2034632033</v>
      </c>
      <c r="O47" s="11">
        <f t="shared" si="27"/>
        <v>3578207.7373737376</v>
      </c>
      <c r="P47" s="11">
        <f t="shared" si="27"/>
        <v>4098914.2712842715</v>
      </c>
      <c r="Q47" s="11">
        <f t="shared" si="27"/>
        <v>4614872.8051948054</v>
      </c>
      <c r="R47" s="11">
        <f t="shared" si="27"/>
        <v>5130831.3391053397</v>
      </c>
      <c r="S47" s="11">
        <f t="shared" si="27"/>
        <v>5621537.8730158731</v>
      </c>
      <c r="T47" s="15"/>
      <c r="U47" s="11"/>
    </row>
    <row r="48" spans="1:21" ht="23.1" customHeight="1" x14ac:dyDescent="0.3">
      <c r="A48" s="148" t="s">
        <v>25</v>
      </c>
      <c r="B48" s="149"/>
      <c r="C48" s="99">
        <f>C47</f>
        <v>-167250</v>
      </c>
      <c r="D48" s="99">
        <f>C48+D47</f>
        <v>-215500</v>
      </c>
      <c r="E48" s="99">
        <f>D48+E47</f>
        <v>-263750</v>
      </c>
      <c r="F48" s="99">
        <f>E48+F47</f>
        <v>-371500</v>
      </c>
      <c r="G48" s="14">
        <f>F48</f>
        <v>-371500</v>
      </c>
      <c r="H48" s="5">
        <f>G48+H47</f>
        <v>-429750</v>
      </c>
      <c r="I48" s="5">
        <f>H48+I47</f>
        <v>38958.533910533937</v>
      </c>
      <c r="J48" s="5">
        <f t="shared" ref="J48:S48" si="28">I48+J47</f>
        <v>1019375.6017316019</v>
      </c>
      <c r="K48" s="5">
        <f t="shared" si="28"/>
        <v>2533749.2034632033</v>
      </c>
      <c r="L48" s="5">
        <f t="shared" si="28"/>
        <v>4564081.3391053388</v>
      </c>
      <c r="M48" s="5">
        <f t="shared" si="28"/>
        <v>7110372.0086580086</v>
      </c>
      <c r="N48" s="5">
        <f t="shared" si="28"/>
        <v>10172621.212121211</v>
      </c>
      <c r="O48" s="5">
        <f t="shared" si="28"/>
        <v>13750828.949494949</v>
      </c>
      <c r="P48" s="5">
        <f t="shared" si="28"/>
        <v>17849743.220779222</v>
      </c>
      <c r="Q48" s="5">
        <f t="shared" si="28"/>
        <v>22464616.025974028</v>
      </c>
      <c r="R48" s="5">
        <f t="shared" si="28"/>
        <v>27595447.365079366</v>
      </c>
      <c r="S48" s="5">
        <f t="shared" si="28"/>
        <v>33216985.238095239</v>
      </c>
      <c r="T48" s="14"/>
      <c r="U48" s="17">
        <f>U45-U33</f>
        <v>33216985.238095239</v>
      </c>
    </row>
    <row r="50" spans="6:21" x14ac:dyDescent="0.3">
      <c r="F50" s="102" t="s">
        <v>143</v>
      </c>
      <c r="G50" s="68">
        <f>F5</f>
        <v>795624.39826839825</v>
      </c>
      <c r="U50" s="129">
        <v>44684</v>
      </c>
    </row>
    <row r="51" spans="6:21" x14ac:dyDescent="0.3">
      <c r="T51" s="129"/>
    </row>
    <row r="53" spans="6:21" x14ac:dyDescent="0.3">
      <c r="Q53" s="131" t="s">
        <v>174</v>
      </c>
      <c r="R53" s="131"/>
      <c r="S53" s="130"/>
    </row>
    <row r="54" spans="6:21" x14ac:dyDescent="0.3">
      <c r="S54" s="130"/>
    </row>
  </sheetData>
  <mergeCells count="17">
    <mergeCell ref="A48:B48"/>
    <mergeCell ref="A29:B29"/>
    <mergeCell ref="A43:B43"/>
    <mergeCell ref="A32:B32"/>
    <mergeCell ref="A33:B33"/>
    <mergeCell ref="A42:B42"/>
    <mergeCell ref="A44:B44"/>
    <mergeCell ref="A45:B45"/>
    <mergeCell ref="A46:B46"/>
    <mergeCell ref="A47:B47"/>
    <mergeCell ref="H4:S5"/>
    <mergeCell ref="A25:B25"/>
    <mergeCell ref="A6:B6"/>
    <mergeCell ref="A19:B19"/>
    <mergeCell ref="A7:B7"/>
    <mergeCell ref="A14:B14"/>
    <mergeCell ref="A9:B9"/>
  </mergeCells>
  <pageMargins left="0.34722222222222199" right="0.34722222222222199" top="1.3888888888888899" bottom="0.75" header="0.51180555555555496" footer="0"/>
  <pageSetup scale="56" firstPageNumber="0" orientation="landscape" horizontalDpi="300" verticalDpi="300" r:id="rId1"/>
  <headerFooter>
    <oddFooter>&amp;C&amp;"Helvetica Neue,Regular"&amp;P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15"/>
  <sheetViews>
    <sheetView showGridLines="0" zoomScale="75" zoomScaleNormal="75" workbookViewId="0">
      <selection activeCell="M15" sqref="M15"/>
    </sheetView>
  </sheetViews>
  <sheetFormatPr defaultColWidth="9" defaultRowHeight="13.8" x14ac:dyDescent="0.25"/>
  <cols>
    <col min="1" max="1" width="2.3984375" style="42" customWidth="1"/>
    <col min="2" max="2" width="29.5" style="42" bestFit="1" customWidth="1"/>
    <col min="3" max="3" width="15.59765625" style="42" customWidth="1"/>
    <col min="4" max="19" width="13.296875" style="42" customWidth="1"/>
    <col min="20" max="16384" width="9" style="42"/>
  </cols>
  <sheetData>
    <row r="2" spans="2:19" x14ac:dyDescent="0.25">
      <c r="B2" s="156" t="s">
        <v>98</v>
      </c>
      <c r="C2" s="156"/>
      <c r="D2" s="156"/>
      <c r="E2" s="156"/>
      <c r="F2" s="156"/>
      <c r="G2" s="156"/>
      <c r="H2" s="156"/>
      <c r="I2" s="156"/>
      <c r="J2" s="156"/>
      <c r="K2" s="156"/>
      <c r="L2" s="156"/>
      <c r="M2" s="156"/>
      <c r="N2" s="156"/>
      <c r="O2" s="156"/>
      <c r="P2" s="156"/>
      <c r="Q2" s="156"/>
      <c r="R2" s="156"/>
      <c r="S2" s="156"/>
    </row>
    <row r="4" spans="2:19" x14ac:dyDescent="0.25">
      <c r="C4" s="43" t="s">
        <v>96</v>
      </c>
      <c r="D4" s="43" t="s">
        <v>100</v>
      </c>
      <c r="E4" s="43" t="s">
        <v>101</v>
      </c>
      <c r="F4" s="43" t="s">
        <v>102</v>
      </c>
      <c r="G4" s="43" t="s">
        <v>103</v>
      </c>
      <c r="H4" s="43" t="s">
        <v>5</v>
      </c>
      <c r="I4" s="43" t="s">
        <v>6</v>
      </c>
      <c r="J4" s="43" t="s">
        <v>7</v>
      </c>
      <c r="K4" s="43" t="s">
        <v>8</v>
      </c>
      <c r="L4" s="43" t="s">
        <v>9</v>
      </c>
      <c r="M4" s="43" t="s">
        <v>10</v>
      </c>
      <c r="N4" s="43" t="s">
        <v>11</v>
      </c>
      <c r="O4" s="43" t="s">
        <v>12</v>
      </c>
      <c r="P4" s="43" t="s">
        <v>13</v>
      </c>
      <c r="Q4" s="43" t="s">
        <v>14</v>
      </c>
      <c r="R4" s="43" t="s">
        <v>15</v>
      </c>
      <c r="S4" s="43" t="s">
        <v>16</v>
      </c>
    </row>
    <row r="6" spans="2:19" x14ac:dyDescent="0.25">
      <c r="B6" s="44" t="s">
        <v>99</v>
      </c>
      <c r="C6" s="49">
        <f>SUM(D6:S6)</f>
        <v>6783014.7619047603</v>
      </c>
      <c r="D6" s="45">
        <f>'Capital &amp; Cash Flow'!C33</f>
        <v>167250</v>
      </c>
      <c r="E6" s="45">
        <f>'Capital &amp; Cash Flow'!D33</f>
        <v>48250</v>
      </c>
      <c r="F6" s="45">
        <f>'Capital &amp; Cash Flow'!E33</f>
        <v>48250</v>
      </c>
      <c r="G6" s="45">
        <f>'Capital &amp; Cash Flow'!F33</f>
        <v>107750</v>
      </c>
      <c r="H6" s="45">
        <f>'Capital &amp; Cash Flow'!H33</f>
        <v>58250</v>
      </c>
      <c r="I6" s="45">
        <f>'Capital &amp; Cash Flow'!I33</f>
        <v>136291.46608946606</v>
      </c>
      <c r="J6" s="45">
        <f>'Capital &amp; Cash Flow'!J33</f>
        <v>229582.93217893213</v>
      </c>
      <c r="K6" s="45">
        <f>'Capital &amp; Cash Flow'!K33</f>
        <v>305626.39826839825</v>
      </c>
      <c r="L6" s="45">
        <f>'Capital &amp; Cash Flow'!L33</f>
        <v>394667.86435786425</v>
      </c>
      <c r="M6" s="45">
        <f>'Capital &amp; Cash Flow'!M33</f>
        <v>483709.33044733031</v>
      </c>
      <c r="N6" s="45">
        <f>'Capital &amp; Cash Flow'!N33</f>
        <v>572750.79653679649</v>
      </c>
      <c r="O6" s="45">
        <f>'Capital &amp; Cash Flow'!O33</f>
        <v>661792.26262626238</v>
      </c>
      <c r="P6" s="45">
        <f>'Capital &amp; Cash Flow'!P33</f>
        <v>751085.7287157285</v>
      </c>
      <c r="Q6" s="45">
        <f>'Capital &amp; Cash Flow'!Q33</f>
        <v>840127.19480519462</v>
      </c>
      <c r="R6" s="45">
        <f>'Capital &amp; Cash Flow'!R33</f>
        <v>929168.66089466063</v>
      </c>
      <c r="S6" s="45">
        <f>'Capital &amp; Cash Flow'!S33</f>
        <v>1048462.1269841267</v>
      </c>
    </row>
    <row r="7" spans="2:19" x14ac:dyDescent="0.25">
      <c r="B7" s="44"/>
      <c r="C7" s="44"/>
      <c r="D7" s="45"/>
      <c r="E7" s="45"/>
      <c r="F7" s="45"/>
      <c r="G7" s="45"/>
      <c r="H7" s="45"/>
      <c r="I7" s="45"/>
      <c r="J7" s="45"/>
      <c r="K7" s="45"/>
      <c r="L7" s="45"/>
      <c r="M7" s="45"/>
      <c r="N7" s="45"/>
      <c r="O7" s="45"/>
      <c r="P7" s="45"/>
      <c r="Q7" s="45"/>
      <c r="R7" s="45"/>
      <c r="S7" s="45"/>
    </row>
    <row r="8" spans="2:19" x14ac:dyDescent="0.25">
      <c r="B8" s="44" t="s">
        <v>104</v>
      </c>
      <c r="C8" s="50">
        <f>SUM(D8:S8)</f>
        <v>40000000</v>
      </c>
      <c r="D8" s="45">
        <f>'Capital &amp; Cash Flow'!C45</f>
        <v>0</v>
      </c>
      <c r="E8" s="45">
        <f>'Capital &amp; Cash Flow'!D45</f>
        <v>0</v>
      </c>
      <c r="F8" s="45">
        <f>'Capital &amp; Cash Flow'!E45</f>
        <v>0</v>
      </c>
      <c r="G8" s="45">
        <f>'Capital &amp; Cash Flow'!F45</f>
        <v>0</v>
      </c>
      <c r="H8" s="45">
        <f>'Capital &amp; Cash Flow'!H45</f>
        <v>0</v>
      </c>
      <c r="I8" s="45">
        <f>'Capital &amp; Cash Flow'!I45</f>
        <v>605000</v>
      </c>
      <c r="J8" s="45">
        <f>'Capital &amp; Cash Flow'!J45</f>
        <v>1210000</v>
      </c>
      <c r="K8" s="45">
        <f>'Capital &amp; Cash Flow'!K45</f>
        <v>1820000</v>
      </c>
      <c r="L8" s="45">
        <f>'Capital &amp; Cash Flow'!L45</f>
        <v>2425000</v>
      </c>
      <c r="M8" s="45">
        <f>'Capital &amp; Cash Flow'!M45</f>
        <v>3030000</v>
      </c>
      <c r="N8" s="45">
        <f>'Capital &amp; Cash Flow'!N45</f>
        <v>3635000</v>
      </c>
      <c r="O8" s="45">
        <f>'Capital &amp; Cash Flow'!O45</f>
        <v>4240000</v>
      </c>
      <c r="P8" s="45">
        <f>'Capital &amp; Cash Flow'!P45</f>
        <v>4850000</v>
      </c>
      <c r="Q8" s="45">
        <f>'Capital &amp; Cash Flow'!Q45</f>
        <v>5455000</v>
      </c>
      <c r="R8" s="45">
        <f>'Capital &amp; Cash Flow'!R45</f>
        <v>6060000</v>
      </c>
      <c r="S8" s="45">
        <f>'Capital &amp; Cash Flow'!S45</f>
        <v>6670000</v>
      </c>
    </row>
    <row r="9" spans="2:19" x14ac:dyDescent="0.25">
      <c r="B9" s="46"/>
      <c r="C9" s="46"/>
      <c r="D9" s="45"/>
      <c r="E9" s="45"/>
      <c r="F9" s="45"/>
      <c r="G9" s="45"/>
      <c r="H9" s="45"/>
      <c r="I9" s="45"/>
      <c r="J9" s="45"/>
      <c r="K9" s="45"/>
      <c r="L9" s="45"/>
      <c r="M9" s="45"/>
      <c r="N9" s="45"/>
      <c r="O9" s="45"/>
      <c r="P9" s="45"/>
      <c r="Q9" s="45"/>
      <c r="R9" s="45"/>
      <c r="S9" s="45"/>
    </row>
    <row r="10" spans="2:19" x14ac:dyDescent="0.25">
      <c r="B10" s="44" t="s">
        <v>105</v>
      </c>
      <c r="C10" s="50">
        <f>SUM(D10:S10)</f>
        <v>33216985.238095239</v>
      </c>
      <c r="D10" s="47">
        <f>'Capital &amp; Cash Flow'!C47</f>
        <v>-167250</v>
      </c>
      <c r="E10" s="47">
        <f>'Capital &amp; Cash Flow'!D47</f>
        <v>-48250</v>
      </c>
      <c r="F10" s="47">
        <f>'Capital &amp; Cash Flow'!E47</f>
        <v>-48250</v>
      </c>
      <c r="G10" s="47">
        <f>'Capital &amp; Cash Flow'!F47</f>
        <v>-107750</v>
      </c>
      <c r="H10" s="47">
        <f>'Capital &amp; Cash Flow'!H47</f>
        <v>-58250</v>
      </c>
      <c r="I10" s="47">
        <f>'Capital &amp; Cash Flow'!I47</f>
        <v>468708.53391053394</v>
      </c>
      <c r="J10" s="47">
        <f>'Capital &amp; Cash Flow'!J47</f>
        <v>980417.06782106787</v>
      </c>
      <c r="K10" s="47">
        <f>'Capital &amp; Cash Flow'!K47</f>
        <v>1514373.6017316016</v>
      </c>
      <c r="L10" s="47">
        <f>'Capital &amp; Cash Flow'!L47</f>
        <v>2030332.1356421357</v>
      </c>
      <c r="M10" s="47">
        <f>'Capital &amp; Cash Flow'!M47</f>
        <v>2546290.6695526699</v>
      </c>
      <c r="N10" s="47">
        <f>'Capital &amp; Cash Flow'!N47</f>
        <v>3062249.2034632033</v>
      </c>
      <c r="O10" s="47">
        <f>'Capital &amp; Cash Flow'!O47</f>
        <v>3578207.7373737376</v>
      </c>
      <c r="P10" s="47">
        <f>'Capital &amp; Cash Flow'!P47</f>
        <v>4098914.2712842715</v>
      </c>
      <c r="Q10" s="47">
        <f>'Capital &amp; Cash Flow'!Q47</f>
        <v>4614872.8051948054</v>
      </c>
      <c r="R10" s="47">
        <f>'Capital &amp; Cash Flow'!R47</f>
        <v>5130831.3391053397</v>
      </c>
      <c r="S10" s="47">
        <f>'Capital &amp; Cash Flow'!S47</f>
        <v>5621537.8730158731</v>
      </c>
    </row>
    <row r="11" spans="2:19" x14ac:dyDescent="0.25">
      <c r="B11" s="44" t="s">
        <v>106</v>
      </c>
      <c r="C11" s="50">
        <f>NPV(10%/12,D10:S10)</f>
        <v>29870699.263637375</v>
      </c>
      <c r="D11" s="45"/>
      <c r="E11" s="45"/>
      <c r="F11" s="45"/>
      <c r="G11" s="45"/>
      <c r="H11" s="45"/>
      <c r="I11" s="45"/>
      <c r="J11" s="45"/>
      <c r="K11" s="45"/>
      <c r="L11" s="48"/>
      <c r="M11" s="48"/>
      <c r="N11" s="48"/>
      <c r="O11" s="48"/>
      <c r="P11" s="48"/>
      <c r="Q11" s="48"/>
      <c r="R11" s="48"/>
      <c r="S11" s="48"/>
    </row>
    <row r="12" spans="2:19" x14ac:dyDescent="0.25">
      <c r="B12" s="44" t="s">
        <v>107</v>
      </c>
      <c r="C12" s="51">
        <f>IRR(D10:S10)</f>
        <v>0.66001353425535703</v>
      </c>
      <c r="D12" s="46"/>
      <c r="E12" s="46"/>
      <c r="F12" s="46"/>
      <c r="G12" s="46"/>
      <c r="H12" s="46"/>
      <c r="I12" s="46"/>
      <c r="J12" s="46"/>
      <c r="K12" s="46"/>
      <c r="L12" s="48"/>
      <c r="M12" s="48"/>
      <c r="N12" s="48"/>
      <c r="O12" s="48"/>
      <c r="P12" s="48"/>
      <c r="Q12" s="48"/>
      <c r="R12" s="48"/>
      <c r="S12" s="48"/>
    </row>
    <row r="13" spans="2:19" x14ac:dyDescent="0.25">
      <c r="B13" s="44" t="s">
        <v>108</v>
      </c>
      <c r="C13" s="52">
        <f>C8/C6-1</f>
        <v>4.8970828465022347</v>
      </c>
      <c r="D13" s="46"/>
      <c r="E13" s="46"/>
      <c r="F13" s="46"/>
      <c r="G13" s="46"/>
      <c r="H13" s="46"/>
      <c r="I13" s="46"/>
      <c r="J13" s="46"/>
      <c r="K13" s="46"/>
      <c r="L13" s="48"/>
      <c r="M13" s="48"/>
      <c r="N13" s="48"/>
      <c r="O13" s="48"/>
      <c r="P13" s="48"/>
      <c r="Q13" s="48"/>
      <c r="R13" s="48"/>
      <c r="S13" s="48"/>
    </row>
    <row r="15" spans="2:19" x14ac:dyDescent="0.25">
      <c r="M15" s="42" t="s">
        <v>174</v>
      </c>
    </row>
  </sheetData>
  <mergeCells count="1">
    <mergeCell ref="B2:S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zoomScale="80" zoomScaleNormal="80" workbookViewId="0">
      <selection activeCell="K29" sqref="K29"/>
    </sheetView>
  </sheetViews>
  <sheetFormatPr defaultColWidth="9" defaultRowHeight="15" x14ac:dyDescent="0.25"/>
  <cols>
    <col min="1" max="1" width="38.09765625" style="105" bestFit="1" customWidth="1"/>
    <col min="2" max="14" width="12.69921875" style="105" customWidth="1"/>
    <col min="15" max="16384" width="9" style="105"/>
  </cols>
  <sheetData>
    <row r="1" spans="1:14" x14ac:dyDescent="0.25">
      <c r="A1" s="103" t="s">
        <v>115</v>
      </c>
      <c r="B1" s="104"/>
      <c r="C1" s="104"/>
    </row>
    <row r="2" spans="1:14" x14ac:dyDescent="0.25">
      <c r="A2" s="104" t="s">
        <v>116</v>
      </c>
      <c r="B2" s="106" t="b">
        <v>0</v>
      </c>
      <c r="C2" s="104"/>
    </row>
    <row r="3" spans="1:14" x14ac:dyDescent="0.25">
      <c r="A3" s="104" t="s">
        <v>149</v>
      </c>
      <c r="B3" s="107">
        <v>0.01</v>
      </c>
      <c r="C3" s="108">
        <v>0.01</v>
      </c>
      <c r="E3" s="105" t="str">
        <f>IF(B3=0.01,B24,IF(B3=0.02,B25,B26))</f>
        <v>50 states; AML/KYC processing (subscription agreement review, exceptions handled by issuer, proactive outreach handled by issuer); marketing material review</v>
      </c>
    </row>
    <row r="4" spans="1:14" x14ac:dyDescent="0.25">
      <c r="A4" s="104" t="s">
        <v>120</v>
      </c>
      <c r="B4" s="107">
        <v>0.1</v>
      </c>
      <c r="C4" s="104"/>
    </row>
    <row r="5" spans="1:14" x14ac:dyDescent="0.25">
      <c r="A5" s="104" t="s">
        <v>122</v>
      </c>
      <c r="B5" s="109">
        <v>0.08</v>
      </c>
      <c r="C5" s="104"/>
    </row>
    <row r="6" spans="1:14" x14ac:dyDescent="0.25">
      <c r="A6" s="104" t="s">
        <v>118</v>
      </c>
      <c r="B6" s="107">
        <v>0.75</v>
      </c>
      <c r="C6" s="104" t="s">
        <v>127</v>
      </c>
    </row>
    <row r="7" spans="1:14" x14ac:dyDescent="0.25">
      <c r="A7" s="104" t="s">
        <v>124</v>
      </c>
      <c r="B7" s="110">
        <v>2.9000000000000001E-2</v>
      </c>
      <c r="C7" s="104"/>
    </row>
    <row r="8" spans="1:14" x14ac:dyDescent="0.25">
      <c r="A8" s="104" t="s">
        <v>125</v>
      </c>
      <c r="B8" s="111">
        <v>18</v>
      </c>
      <c r="C8" s="104"/>
    </row>
    <row r="9" spans="1:14" x14ac:dyDescent="0.25">
      <c r="A9" s="104" t="s">
        <v>126</v>
      </c>
      <c r="B9" s="112">
        <v>0.12</v>
      </c>
      <c r="C9" s="104"/>
    </row>
    <row r="10" spans="1:14" x14ac:dyDescent="0.25">
      <c r="A10" s="104" t="s">
        <v>129</v>
      </c>
      <c r="B10" s="112">
        <v>0.67</v>
      </c>
      <c r="C10" s="104"/>
    </row>
    <row r="11" spans="1:14" x14ac:dyDescent="0.25">
      <c r="A11" s="104" t="s">
        <v>146</v>
      </c>
      <c r="B11" s="107">
        <v>0.02</v>
      </c>
      <c r="C11" s="104" t="s">
        <v>153</v>
      </c>
    </row>
    <row r="13" spans="1:14" x14ac:dyDescent="0.25">
      <c r="A13" s="113" t="s">
        <v>131</v>
      </c>
    </row>
    <row r="14" spans="1:14" x14ac:dyDescent="0.25">
      <c r="A14" s="105" t="s">
        <v>94</v>
      </c>
      <c r="B14" s="114">
        <v>1.5151515151515147E-2</v>
      </c>
      <c r="E14" s="114"/>
    </row>
    <row r="15" spans="1:14" x14ac:dyDescent="0.25">
      <c r="A15" s="105" t="s">
        <v>91</v>
      </c>
      <c r="B15" s="105">
        <v>1</v>
      </c>
      <c r="C15" s="105">
        <v>2</v>
      </c>
      <c r="D15" s="105">
        <v>3</v>
      </c>
      <c r="E15" s="105">
        <v>4</v>
      </c>
      <c r="F15" s="105">
        <v>5</v>
      </c>
      <c r="G15" s="105">
        <v>6</v>
      </c>
      <c r="H15" s="105">
        <v>7</v>
      </c>
      <c r="I15" s="105">
        <v>8</v>
      </c>
      <c r="J15" s="105">
        <v>9</v>
      </c>
      <c r="K15" s="105">
        <v>10</v>
      </c>
      <c r="L15" s="105">
        <v>11</v>
      </c>
      <c r="M15" s="105">
        <v>12</v>
      </c>
      <c r="N15" s="115" t="s">
        <v>92</v>
      </c>
    </row>
    <row r="16" spans="1:14" x14ac:dyDescent="0.25">
      <c r="A16" s="105" t="s">
        <v>93</v>
      </c>
      <c r="B16" s="116">
        <v>0</v>
      </c>
      <c r="C16" s="116">
        <f t="shared" ref="C16:M16" si="0">$B$16+((C15-1)*$B$14)</f>
        <v>1.5151515151515147E-2</v>
      </c>
      <c r="D16" s="116">
        <f t="shared" si="0"/>
        <v>3.0303030303030293E-2</v>
      </c>
      <c r="E16" s="116">
        <f t="shared" si="0"/>
        <v>4.5454545454545442E-2</v>
      </c>
      <c r="F16" s="116">
        <f t="shared" si="0"/>
        <v>6.0606060606060587E-2</v>
      </c>
      <c r="G16" s="116">
        <f t="shared" si="0"/>
        <v>7.5757575757575732E-2</v>
      </c>
      <c r="H16" s="116">
        <f t="shared" si="0"/>
        <v>9.0909090909090884E-2</v>
      </c>
      <c r="I16" s="116">
        <f t="shared" si="0"/>
        <v>0.10606060606060602</v>
      </c>
      <c r="J16" s="116">
        <f t="shared" si="0"/>
        <v>0.12121212121212117</v>
      </c>
      <c r="K16" s="116">
        <f t="shared" si="0"/>
        <v>0.13636363636363633</v>
      </c>
      <c r="L16" s="116">
        <f t="shared" si="0"/>
        <v>0.15151515151515146</v>
      </c>
      <c r="M16" s="116">
        <f t="shared" si="0"/>
        <v>0.1666666666666666</v>
      </c>
      <c r="N16" s="116">
        <f>SUM(B16:M16)</f>
        <v>0.99999999999999978</v>
      </c>
    </row>
    <row r="18" spans="1:14" x14ac:dyDescent="0.25">
      <c r="A18" s="105" t="s">
        <v>112</v>
      </c>
      <c r="B18" s="105">
        <f t="shared" ref="B18:M18" si="1">B15</f>
        <v>1</v>
      </c>
      <c r="C18" s="105">
        <f t="shared" si="1"/>
        <v>2</v>
      </c>
      <c r="D18" s="105">
        <f t="shared" si="1"/>
        <v>3</v>
      </c>
      <c r="E18" s="105">
        <f t="shared" si="1"/>
        <v>4</v>
      </c>
      <c r="F18" s="105">
        <f t="shared" si="1"/>
        <v>5</v>
      </c>
      <c r="G18" s="105">
        <f t="shared" si="1"/>
        <v>6</v>
      </c>
      <c r="H18" s="105">
        <f t="shared" si="1"/>
        <v>7</v>
      </c>
      <c r="I18" s="105">
        <f t="shared" si="1"/>
        <v>8</v>
      </c>
      <c r="J18" s="105">
        <f t="shared" si="1"/>
        <v>9</v>
      </c>
      <c r="K18" s="105">
        <f t="shared" si="1"/>
        <v>10</v>
      </c>
      <c r="L18" s="105">
        <f t="shared" si="1"/>
        <v>11</v>
      </c>
      <c r="M18" s="105">
        <f t="shared" si="1"/>
        <v>12</v>
      </c>
      <c r="N18" s="115" t="s">
        <v>92</v>
      </c>
    </row>
    <row r="19" spans="1:14" x14ac:dyDescent="0.25">
      <c r="A19" s="117">
        <v>0.01</v>
      </c>
      <c r="B19" s="118">
        <f>'Capital &amp; Cash Flow'!H43*Assumptions!$A19</f>
        <v>0</v>
      </c>
      <c r="C19" s="118">
        <f>'Capital &amp; Cash Flow'!I43*Assumptions!$A19</f>
        <v>6050</v>
      </c>
      <c r="D19" s="118">
        <f>'Capital &amp; Cash Flow'!J43*Assumptions!$A19</f>
        <v>12100</v>
      </c>
      <c r="E19" s="118">
        <f>'Capital &amp; Cash Flow'!K43*Assumptions!$A19</f>
        <v>18200</v>
      </c>
      <c r="F19" s="118">
        <f>'Capital &amp; Cash Flow'!L43*Assumptions!$A19</f>
        <v>24250</v>
      </c>
      <c r="G19" s="118">
        <f>'Capital &amp; Cash Flow'!M43*Assumptions!$A19</f>
        <v>30300</v>
      </c>
      <c r="H19" s="118">
        <f>'Capital &amp; Cash Flow'!N43*Assumptions!$A19</f>
        <v>36350</v>
      </c>
      <c r="I19" s="118">
        <f>'Capital &amp; Cash Flow'!O43*Assumptions!$A19</f>
        <v>42400</v>
      </c>
      <c r="J19" s="118">
        <f>'Capital &amp; Cash Flow'!P43*Assumptions!$A19</f>
        <v>48500</v>
      </c>
      <c r="K19" s="118">
        <f>'Capital &amp; Cash Flow'!Q43*Assumptions!$A19</f>
        <v>54550</v>
      </c>
      <c r="L19" s="118">
        <f>'Capital &amp; Cash Flow'!R43*Assumptions!$A19</f>
        <v>60600</v>
      </c>
      <c r="M19" s="118">
        <f>'Capital &amp; Cash Flow'!S43*Assumptions!$A19</f>
        <v>66700</v>
      </c>
      <c r="N19" s="118">
        <f t="shared" ref="N19:N21" si="2">SUM(B19:M19)</f>
        <v>400000</v>
      </c>
    </row>
    <row r="20" spans="1:14" x14ac:dyDescent="0.25">
      <c r="A20" s="119">
        <v>0.02</v>
      </c>
      <c r="B20" s="118">
        <f>'Capital &amp; Cash Flow'!H43*Assumptions!$A20</f>
        <v>0</v>
      </c>
      <c r="C20" s="118">
        <f>'Capital &amp; Cash Flow'!I43*Assumptions!$A20</f>
        <v>12100</v>
      </c>
      <c r="D20" s="118">
        <f>'Capital &amp; Cash Flow'!J43*Assumptions!$A20</f>
        <v>24200</v>
      </c>
      <c r="E20" s="118">
        <f>'Capital &amp; Cash Flow'!K43*Assumptions!$A20</f>
        <v>36400</v>
      </c>
      <c r="F20" s="118">
        <f>'Capital &amp; Cash Flow'!L43*Assumptions!$A20</f>
        <v>48500</v>
      </c>
      <c r="G20" s="118">
        <f>'Capital &amp; Cash Flow'!M43*Assumptions!$A20</f>
        <v>60600</v>
      </c>
      <c r="H20" s="118">
        <f>'Capital &amp; Cash Flow'!N43*Assumptions!$A20</f>
        <v>72700</v>
      </c>
      <c r="I20" s="118">
        <f>'Capital &amp; Cash Flow'!O43*Assumptions!$A20</f>
        <v>84800</v>
      </c>
      <c r="J20" s="118">
        <f>'Capital &amp; Cash Flow'!P43*Assumptions!$A20</f>
        <v>97000</v>
      </c>
      <c r="K20" s="118">
        <f>'Capital &amp; Cash Flow'!Q43*Assumptions!$A20</f>
        <v>109100</v>
      </c>
      <c r="L20" s="118">
        <f>'Capital &amp; Cash Flow'!R43*Assumptions!$A20</f>
        <v>121200</v>
      </c>
      <c r="M20" s="118">
        <f>'Capital &amp; Cash Flow'!S43*Assumptions!$A20</f>
        <v>133400</v>
      </c>
      <c r="N20" s="118">
        <f t="shared" si="2"/>
        <v>800000</v>
      </c>
    </row>
    <row r="21" spans="1:14" x14ac:dyDescent="0.25">
      <c r="A21" s="120">
        <v>0.03</v>
      </c>
      <c r="B21" s="118">
        <f>'Capital &amp; Cash Flow'!H43*Assumptions!$A21</f>
        <v>0</v>
      </c>
      <c r="C21" s="118">
        <f>'Capital &amp; Cash Flow'!I43*Assumptions!$A21</f>
        <v>18150</v>
      </c>
      <c r="D21" s="118">
        <f>'Capital &amp; Cash Flow'!J43*Assumptions!$A21</f>
        <v>36300</v>
      </c>
      <c r="E21" s="118">
        <f>'Capital &amp; Cash Flow'!K43*Assumptions!$A21</f>
        <v>54600</v>
      </c>
      <c r="F21" s="118">
        <f>'Capital &amp; Cash Flow'!L43*Assumptions!$A21</f>
        <v>72750</v>
      </c>
      <c r="G21" s="118">
        <f>'Capital &amp; Cash Flow'!M43*Assumptions!$A21</f>
        <v>90900</v>
      </c>
      <c r="H21" s="118">
        <f>'Capital &amp; Cash Flow'!N43*Assumptions!$A21</f>
        <v>109050</v>
      </c>
      <c r="I21" s="118">
        <f>'Capital &amp; Cash Flow'!O43*Assumptions!$A21</f>
        <v>127200</v>
      </c>
      <c r="J21" s="118">
        <f>'Capital &amp; Cash Flow'!P43*Assumptions!$A21</f>
        <v>145500</v>
      </c>
      <c r="K21" s="118">
        <f>'Capital &amp; Cash Flow'!Q43*Assumptions!$A21</f>
        <v>163650</v>
      </c>
      <c r="L21" s="118">
        <f>'Capital &amp; Cash Flow'!R43*Assumptions!$A21</f>
        <v>181800</v>
      </c>
      <c r="M21" s="118">
        <f>'Capital &amp; Cash Flow'!S43*Assumptions!$A21</f>
        <v>200100</v>
      </c>
      <c r="N21" s="118">
        <f t="shared" si="2"/>
        <v>1200000</v>
      </c>
    </row>
    <row r="23" spans="1:14" x14ac:dyDescent="0.25">
      <c r="A23" s="105" t="s">
        <v>147</v>
      </c>
    </row>
    <row r="24" spans="1:14" x14ac:dyDescent="0.25">
      <c r="A24" s="121" t="s">
        <v>156</v>
      </c>
      <c r="B24" s="105" t="s">
        <v>148</v>
      </c>
    </row>
    <row r="25" spans="1:14" x14ac:dyDescent="0.25">
      <c r="A25" s="119">
        <v>0.02</v>
      </c>
      <c r="B25" s="105" t="s">
        <v>150</v>
      </c>
    </row>
    <row r="26" spans="1:14" x14ac:dyDescent="0.25">
      <c r="A26" s="120">
        <v>0.03</v>
      </c>
      <c r="B26" s="105" t="s">
        <v>151</v>
      </c>
    </row>
    <row r="29" spans="1:14" x14ac:dyDescent="0.25">
      <c r="K29" s="105" t="s">
        <v>174</v>
      </c>
    </row>
  </sheetData>
  <dataValidations disablePrompts="1" count="2">
    <dataValidation type="list" allowBlank="1" showInputMessage="1" showErrorMessage="1" sqref="B11" xr:uid="{DD8FEF7B-16C4-42CE-81D8-7BCCEA124E10}">
      <formula1>$A$20:$A$21</formula1>
    </dataValidation>
    <dataValidation type="list" allowBlank="1" showInputMessage="1" showErrorMessage="1" sqref="B3" xr:uid="{3D6DD38B-6F33-4A49-8F46-CFC6C0868F83}">
      <formula1>$C$3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2"/>
  <sheetViews>
    <sheetView topLeftCell="A70" workbookViewId="0">
      <selection activeCell="A82" sqref="A82"/>
    </sheetView>
  </sheetViews>
  <sheetFormatPr defaultColWidth="9" defaultRowHeight="13.2" x14ac:dyDescent="0.25"/>
  <cols>
    <col min="1" max="1" width="35.19921875" style="22" bestFit="1" customWidth="1"/>
    <col min="2" max="2" width="12.69921875" style="22" bestFit="1" customWidth="1"/>
    <col min="3" max="3" width="13.19921875" style="22" bestFit="1" customWidth="1"/>
    <col min="4" max="4" width="14.09765625" style="22" bestFit="1" customWidth="1"/>
    <col min="5" max="5" width="10.69921875" style="22" bestFit="1" customWidth="1"/>
    <col min="6" max="6" width="12.19921875" style="22" bestFit="1" customWidth="1"/>
    <col min="7" max="7" width="9.59765625" style="22" bestFit="1" customWidth="1"/>
    <col min="8" max="8" width="9.59765625" style="22" customWidth="1"/>
    <col min="9" max="9" width="10.8984375" style="22" bestFit="1" customWidth="1"/>
    <col min="10" max="16384" width="9" style="22"/>
  </cols>
  <sheetData>
    <row r="1" spans="1:9" x14ac:dyDescent="0.25">
      <c r="A1" s="19" t="str">
        <f>'Capital &amp; Cash Flow'!A3</f>
        <v>Target capital raise</v>
      </c>
      <c r="B1" s="20">
        <f>'Capital &amp; Cash Flow'!B3</f>
        <v>40000000</v>
      </c>
      <c r="C1" s="21"/>
    </row>
    <row r="2" spans="1:9" x14ac:dyDescent="0.25">
      <c r="A2" s="19" t="str">
        <f>'Capital &amp; Cash Flow'!A5</f>
        <v>Estimated # investors</v>
      </c>
      <c r="B2" s="23">
        <f>'Capital &amp; Cash Flow'!B5</f>
        <v>8000</v>
      </c>
      <c r="C2" s="21"/>
    </row>
    <row r="3" spans="1:9" x14ac:dyDescent="0.25">
      <c r="A3" s="19" t="s">
        <v>133</v>
      </c>
      <c r="B3" s="23">
        <f>B2*Assumptions!B4</f>
        <v>800</v>
      </c>
      <c r="C3" s="21"/>
    </row>
    <row r="4" spans="1:9" x14ac:dyDescent="0.25">
      <c r="A4" s="19" t="s">
        <v>134</v>
      </c>
      <c r="B4" s="23">
        <f>B2-B3</f>
        <v>7200</v>
      </c>
      <c r="C4" s="21"/>
    </row>
    <row r="5" spans="1:9" x14ac:dyDescent="0.25">
      <c r="A5" s="19" t="s">
        <v>34</v>
      </c>
      <c r="B5" s="59">
        <f>'Capital &amp; Cash Flow'!B4</f>
        <v>5000</v>
      </c>
      <c r="C5" s="21"/>
    </row>
    <row r="6" spans="1:9" x14ac:dyDescent="0.25">
      <c r="A6" s="21"/>
      <c r="B6" s="21"/>
      <c r="C6" s="21"/>
    </row>
    <row r="7" spans="1:9" x14ac:dyDescent="0.25">
      <c r="A7" s="28" t="s">
        <v>70</v>
      </c>
      <c r="B7" s="60">
        <f>'Capital &amp; Cash Flow'!C29</f>
        <v>30000</v>
      </c>
      <c r="C7" s="21"/>
      <c r="D7" s="28"/>
      <c r="E7" s="29"/>
      <c r="F7" s="29"/>
      <c r="G7" s="61"/>
      <c r="H7" s="61"/>
      <c r="I7" s="61"/>
    </row>
    <row r="8" spans="1:9" x14ac:dyDescent="0.25">
      <c r="A8" s="22" t="s">
        <v>71</v>
      </c>
      <c r="B8" s="60"/>
      <c r="C8" s="21"/>
      <c r="D8" s="28"/>
      <c r="E8" s="29"/>
      <c r="F8" s="29"/>
      <c r="G8" s="61"/>
      <c r="H8" s="61"/>
      <c r="I8" s="61"/>
    </row>
    <row r="9" spans="1:9" x14ac:dyDescent="0.25">
      <c r="A9" s="22" t="s">
        <v>72</v>
      </c>
      <c r="B9" s="60"/>
      <c r="C9" s="21"/>
      <c r="D9" s="28"/>
      <c r="E9" s="29"/>
      <c r="F9" s="29"/>
      <c r="G9" s="61"/>
      <c r="H9" s="61"/>
      <c r="I9" s="61"/>
    </row>
    <row r="10" spans="1:9" x14ac:dyDescent="0.25">
      <c r="A10" s="22" t="s">
        <v>73</v>
      </c>
      <c r="B10" s="60"/>
      <c r="C10" s="21"/>
      <c r="D10" s="28"/>
      <c r="E10" s="29"/>
      <c r="F10" s="29"/>
      <c r="G10" s="61"/>
      <c r="H10" s="61"/>
      <c r="I10" s="61"/>
    </row>
    <row r="11" spans="1:9" x14ac:dyDescent="0.25">
      <c r="A11" s="22" t="s">
        <v>75</v>
      </c>
      <c r="B11" s="60"/>
      <c r="C11" s="21"/>
      <c r="D11" s="28"/>
      <c r="E11" s="29"/>
      <c r="F11" s="29"/>
      <c r="G11" s="61"/>
      <c r="H11" s="61"/>
      <c r="I11" s="61"/>
    </row>
    <row r="12" spans="1:9" x14ac:dyDescent="0.25">
      <c r="A12" s="22" t="s">
        <v>76</v>
      </c>
      <c r="B12" s="60"/>
      <c r="C12" s="21"/>
      <c r="D12" s="28"/>
      <c r="E12" s="29"/>
      <c r="F12" s="29"/>
      <c r="G12" s="61"/>
      <c r="H12" s="61"/>
      <c r="I12" s="61"/>
    </row>
    <row r="13" spans="1:9" x14ac:dyDescent="0.25">
      <c r="A13" s="22" t="s">
        <v>74</v>
      </c>
      <c r="B13" s="60"/>
      <c r="C13" s="21"/>
      <c r="D13" s="28"/>
      <c r="E13" s="29"/>
      <c r="F13" s="29"/>
      <c r="G13" s="61"/>
      <c r="H13" s="61"/>
      <c r="I13" s="61"/>
    </row>
    <row r="14" spans="1:9" x14ac:dyDescent="0.25">
      <c r="A14" s="22" t="s">
        <v>82</v>
      </c>
      <c r="B14" s="60"/>
      <c r="C14" s="21"/>
      <c r="D14" s="28"/>
      <c r="E14" s="29"/>
      <c r="F14" s="29"/>
      <c r="G14" s="61"/>
      <c r="H14" s="61"/>
      <c r="I14" s="61"/>
    </row>
    <row r="15" spans="1:9" x14ac:dyDescent="0.25">
      <c r="A15" s="22" t="s">
        <v>77</v>
      </c>
      <c r="B15" s="60"/>
      <c r="C15" s="21"/>
      <c r="D15" s="28"/>
      <c r="E15" s="29"/>
      <c r="F15" s="29"/>
      <c r="G15" s="61"/>
      <c r="H15" s="61"/>
      <c r="I15" s="61"/>
    </row>
    <row r="16" spans="1:9" x14ac:dyDescent="0.25">
      <c r="A16" s="22" t="s">
        <v>85</v>
      </c>
      <c r="B16" s="60"/>
      <c r="C16" s="21"/>
      <c r="D16" s="28"/>
      <c r="E16" s="29"/>
      <c r="F16" s="29"/>
      <c r="G16" s="61"/>
      <c r="H16" s="61"/>
      <c r="I16" s="61"/>
    </row>
    <row r="17" spans="1:9" x14ac:dyDescent="0.25">
      <c r="A17" s="22" t="s">
        <v>78</v>
      </c>
      <c r="B17" s="60"/>
      <c r="C17" s="21"/>
      <c r="D17" s="28"/>
      <c r="E17" s="29"/>
      <c r="F17" s="29"/>
      <c r="G17" s="61"/>
      <c r="H17" s="61"/>
      <c r="I17" s="61"/>
    </row>
    <row r="18" spans="1:9" x14ac:dyDescent="0.25">
      <c r="A18" s="22" t="s">
        <v>79</v>
      </c>
      <c r="B18" s="60"/>
      <c r="C18" s="21"/>
      <c r="D18" s="28"/>
      <c r="E18" s="29"/>
      <c r="F18" s="29"/>
      <c r="G18" s="61"/>
      <c r="H18" s="61"/>
      <c r="I18" s="61"/>
    </row>
    <row r="19" spans="1:9" x14ac:dyDescent="0.25">
      <c r="A19" s="22" t="s">
        <v>80</v>
      </c>
      <c r="B19" s="60"/>
      <c r="C19" s="21"/>
      <c r="D19" s="28"/>
      <c r="E19" s="29"/>
      <c r="F19" s="29"/>
      <c r="G19" s="61"/>
      <c r="H19" s="61"/>
      <c r="I19" s="61"/>
    </row>
    <row r="20" spans="1:9" x14ac:dyDescent="0.25">
      <c r="A20" s="22" t="s">
        <v>81</v>
      </c>
      <c r="B20" s="60"/>
      <c r="C20" s="21"/>
      <c r="D20" s="28"/>
      <c r="E20" s="29"/>
      <c r="F20" s="29"/>
      <c r="G20" s="61"/>
      <c r="H20" s="61"/>
      <c r="I20" s="61"/>
    </row>
    <row r="21" spans="1:9" x14ac:dyDescent="0.25">
      <c r="A21" s="22" t="s">
        <v>83</v>
      </c>
      <c r="B21" s="60"/>
      <c r="C21" s="21"/>
      <c r="D21" s="28"/>
      <c r="E21" s="29"/>
      <c r="F21" s="29"/>
      <c r="G21" s="61"/>
      <c r="H21" s="61"/>
      <c r="I21" s="61"/>
    </row>
    <row r="22" spans="1:9" x14ac:dyDescent="0.25">
      <c r="A22" s="22" t="s">
        <v>84</v>
      </c>
      <c r="B22" s="60"/>
      <c r="C22" s="21"/>
      <c r="D22" s="28"/>
      <c r="E22" s="29"/>
      <c r="F22" s="29"/>
      <c r="G22" s="61"/>
      <c r="H22" s="61"/>
      <c r="I22" s="61"/>
    </row>
    <row r="23" spans="1:9" x14ac:dyDescent="0.25">
      <c r="B23" s="60"/>
      <c r="C23" s="21"/>
      <c r="D23" s="28"/>
      <c r="E23" s="29"/>
      <c r="F23" s="29"/>
      <c r="G23" s="61"/>
      <c r="H23" s="61"/>
      <c r="I23" s="61"/>
    </row>
    <row r="24" spans="1:9" x14ac:dyDescent="0.25">
      <c r="A24" s="28" t="s">
        <v>95</v>
      </c>
      <c r="B24" s="62"/>
      <c r="D24" s="28"/>
      <c r="E24" s="29"/>
      <c r="F24" s="29"/>
      <c r="G24" s="61"/>
      <c r="H24" s="61"/>
      <c r="I24" s="61"/>
    </row>
    <row r="25" spans="1:9" x14ac:dyDescent="0.25">
      <c r="A25" s="22" t="s">
        <v>90</v>
      </c>
      <c r="B25" s="40">
        <f>B66</f>
        <v>300000</v>
      </c>
      <c r="D25" s="28"/>
      <c r="E25" s="29"/>
      <c r="F25" s="29"/>
      <c r="G25" s="61"/>
      <c r="H25" s="61"/>
      <c r="I25" s="61"/>
    </row>
    <row r="26" spans="1:9" x14ac:dyDescent="0.25">
      <c r="A26" s="22" t="s">
        <v>86</v>
      </c>
      <c r="B26" s="40">
        <v>5000</v>
      </c>
      <c r="D26" s="28"/>
      <c r="E26" s="29"/>
      <c r="F26" s="29"/>
      <c r="G26" s="61"/>
      <c r="H26" s="61"/>
      <c r="I26" s="61"/>
    </row>
    <row r="27" spans="1:9" x14ac:dyDescent="0.25">
      <c r="A27" s="22" t="s">
        <v>88</v>
      </c>
      <c r="B27" s="40">
        <f>B77</f>
        <v>1813333.3333333333</v>
      </c>
      <c r="D27" s="28"/>
      <c r="E27" s="29"/>
      <c r="F27" s="29"/>
      <c r="G27" s="61"/>
      <c r="H27" s="61"/>
      <c r="I27" s="61"/>
    </row>
    <row r="28" spans="1:9" x14ac:dyDescent="0.25">
      <c r="A28" s="22" t="s">
        <v>89</v>
      </c>
      <c r="B28" s="40">
        <f>C77</f>
        <v>1748571.4285714286</v>
      </c>
      <c r="D28" s="28"/>
      <c r="E28" s="29"/>
      <c r="F28" s="29"/>
      <c r="G28" s="61"/>
      <c r="H28" s="61"/>
      <c r="I28" s="61"/>
    </row>
    <row r="29" spans="1:9" x14ac:dyDescent="0.25">
      <c r="A29" s="28" t="s">
        <v>96</v>
      </c>
      <c r="B29" s="60">
        <f>SUM(B25:B28)</f>
        <v>3866904.7619047617</v>
      </c>
      <c r="C29" s="63"/>
      <c r="D29" s="28"/>
      <c r="E29" s="29"/>
      <c r="F29" s="29"/>
      <c r="G29" s="61"/>
      <c r="H29" s="61"/>
      <c r="I29" s="61"/>
    </row>
    <row r="30" spans="1:9" x14ac:dyDescent="0.25">
      <c r="A30" s="25" t="s">
        <v>87</v>
      </c>
      <c r="B30" s="41">
        <f>'Capital &amp; Cash Flow'!B3/'Investor Acquisition Detail'!B29</f>
        <v>10.344190628655872</v>
      </c>
      <c r="C30" s="63">
        <f>1/B30</f>
        <v>9.6672619047619035E-2</v>
      </c>
      <c r="D30" s="31"/>
    </row>
    <row r="31" spans="1:9" x14ac:dyDescent="0.25">
      <c r="A31" s="25" t="s">
        <v>97</v>
      </c>
      <c r="B31" s="41">
        <f>'Capital &amp; Cash Flow'!B3/('Capital &amp; Cash Flow'!U33+'Capital &amp; Cash Flow'!U34)</f>
        <v>5.8970828465022338</v>
      </c>
      <c r="C31" s="63">
        <f>1/B31</f>
        <v>0.16957536904761902</v>
      </c>
      <c r="D31" s="31"/>
    </row>
    <row r="32" spans="1:9" x14ac:dyDescent="0.25">
      <c r="A32" s="21"/>
      <c r="B32" s="21"/>
      <c r="C32" s="21"/>
      <c r="D32" s="31"/>
    </row>
    <row r="33" spans="1:4" x14ac:dyDescent="0.25">
      <c r="A33" s="21" t="s">
        <v>65</v>
      </c>
      <c r="B33" s="21"/>
      <c r="C33" s="21"/>
      <c r="D33" s="31"/>
    </row>
    <row r="34" spans="1:4" x14ac:dyDescent="0.25">
      <c r="A34" s="21"/>
      <c r="B34" s="21"/>
      <c r="C34" s="21"/>
      <c r="D34" s="31"/>
    </row>
    <row r="35" spans="1:4" x14ac:dyDescent="0.25">
      <c r="A35" s="25" t="s">
        <v>49</v>
      </c>
      <c r="B35" s="21">
        <f>SUM(B36:B40)</f>
        <v>7200</v>
      </c>
      <c r="C35" s="21"/>
      <c r="D35" s="31"/>
    </row>
    <row r="36" spans="1:4" x14ac:dyDescent="0.25">
      <c r="A36" s="21" t="s">
        <v>50</v>
      </c>
      <c r="B36" s="21">
        <f>B46</f>
        <v>13</v>
      </c>
      <c r="C36" s="63">
        <f>B36/$B$2</f>
        <v>1.6249999999999999E-3</v>
      </c>
      <c r="D36" s="31"/>
    </row>
    <row r="37" spans="1:4" x14ac:dyDescent="0.25">
      <c r="A37" s="21" t="s">
        <v>60</v>
      </c>
      <c r="B37" s="34">
        <f>B53</f>
        <v>20</v>
      </c>
      <c r="C37" s="63">
        <f>B37/$B$2</f>
        <v>2.5000000000000001E-3</v>
      </c>
      <c r="D37" s="31"/>
    </row>
    <row r="38" spans="1:4" x14ac:dyDescent="0.25">
      <c r="A38" s="21" t="s">
        <v>51</v>
      </c>
      <c r="B38" s="34">
        <f>B4*0.85</f>
        <v>6120</v>
      </c>
      <c r="C38" s="63">
        <f t="shared" ref="C38:C40" si="0">B38/$B$2</f>
        <v>0.76500000000000001</v>
      </c>
      <c r="D38" s="31"/>
    </row>
    <row r="39" spans="1:4" x14ac:dyDescent="0.25">
      <c r="A39" s="21" t="s">
        <v>59</v>
      </c>
      <c r="B39" s="34">
        <f>B4*0.05</f>
        <v>360</v>
      </c>
      <c r="C39" s="63">
        <f t="shared" si="0"/>
        <v>4.4999999999999998E-2</v>
      </c>
      <c r="D39" s="31"/>
    </row>
    <row r="40" spans="1:4" x14ac:dyDescent="0.25">
      <c r="A40" s="21" t="s">
        <v>135</v>
      </c>
      <c r="B40" s="27">
        <f>B4-SUM(B36:B39)</f>
        <v>687</v>
      </c>
      <c r="C40" s="63">
        <f t="shared" si="0"/>
        <v>8.5875000000000007E-2</v>
      </c>
      <c r="D40" s="31"/>
    </row>
    <row r="41" spans="1:4" x14ac:dyDescent="0.25">
      <c r="A41" s="21"/>
      <c r="B41" s="21"/>
      <c r="C41" s="21"/>
      <c r="D41" s="31"/>
    </row>
    <row r="42" spans="1:4" x14ac:dyDescent="0.25">
      <c r="A42" s="25" t="s">
        <v>45</v>
      </c>
      <c r="B42" s="64"/>
      <c r="C42" s="21"/>
      <c r="D42" s="31"/>
    </row>
    <row r="43" spans="1:4" x14ac:dyDescent="0.25">
      <c r="A43" s="21" t="s">
        <v>46</v>
      </c>
      <c r="B43" s="32">
        <v>200</v>
      </c>
      <c r="C43" s="21"/>
      <c r="D43" s="31"/>
    </row>
    <row r="44" spans="1:4" x14ac:dyDescent="0.25">
      <c r="A44" s="21" t="s">
        <v>33</v>
      </c>
      <c r="B44" s="26">
        <v>0.25</v>
      </c>
      <c r="C44" s="21"/>
      <c r="D44" s="31"/>
    </row>
    <row r="45" spans="1:4" x14ac:dyDescent="0.25">
      <c r="A45" s="21" t="s">
        <v>35</v>
      </c>
      <c r="B45" s="26">
        <v>0.25</v>
      </c>
      <c r="C45" s="21"/>
      <c r="D45" s="31"/>
    </row>
    <row r="46" spans="1:4" x14ac:dyDescent="0.25">
      <c r="A46" s="21" t="s">
        <v>47</v>
      </c>
      <c r="B46" s="21">
        <f>ROUNDUP(B43*B44*B45,0)</f>
        <v>13</v>
      </c>
      <c r="C46" s="21"/>
      <c r="D46" s="31"/>
    </row>
    <row r="47" spans="1:4" x14ac:dyDescent="0.25">
      <c r="A47" s="21"/>
      <c r="B47" s="21"/>
      <c r="C47" s="21"/>
      <c r="D47" s="31"/>
    </row>
    <row r="48" spans="1:4" x14ac:dyDescent="0.25">
      <c r="A48" s="25" t="s">
        <v>61</v>
      </c>
      <c r="B48" s="21"/>
      <c r="C48" s="21"/>
      <c r="D48" s="31"/>
    </row>
    <row r="49" spans="1:5" x14ac:dyDescent="0.25">
      <c r="A49" s="21" t="s">
        <v>32</v>
      </c>
      <c r="B49" s="34">
        <v>1000</v>
      </c>
      <c r="C49" s="21"/>
      <c r="D49" s="31"/>
    </row>
    <row r="50" spans="1:5" x14ac:dyDescent="0.25">
      <c r="A50" s="21" t="s">
        <v>62</v>
      </c>
      <c r="B50" s="26">
        <v>0.56000000000000005</v>
      </c>
      <c r="C50" s="21"/>
      <c r="D50" s="31"/>
    </row>
    <row r="51" spans="1:5" x14ac:dyDescent="0.25">
      <c r="A51" s="21" t="s">
        <v>63</v>
      </c>
      <c r="B51" s="65">
        <f>20/250</f>
        <v>0.08</v>
      </c>
      <c r="C51" s="21"/>
      <c r="D51" s="31"/>
    </row>
    <row r="52" spans="1:5" x14ac:dyDescent="0.25">
      <c r="A52" s="21" t="s">
        <v>48</v>
      </c>
      <c r="B52" s="26">
        <v>0.25</v>
      </c>
      <c r="C52" s="21"/>
      <c r="D52" s="31"/>
    </row>
    <row r="53" spans="1:5" x14ac:dyDescent="0.25">
      <c r="A53" s="21" t="s">
        <v>18</v>
      </c>
      <c r="B53" s="21">
        <f>B49*B51*B52</f>
        <v>20</v>
      </c>
      <c r="C53" s="21"/>
      <c r="D53" s="31"/>
    </row>
    <row r="54" spans="1:5" x14ac:dyDescent="0.25">
      <c r="A54" s="21" t="s">
        <v>64</v>
      </c>
      <c r="B54" s="24">
        <v>5000</v>
      </c>
      <c r="C54" s="21"/>
      <c r="D54" s="31"/>
    </row>
    <row r="55" spans="1:5" x14ac:dyDescent="0.25">
      <c r="A55" s="21" t="s">
        <v>42</v>
      </c>
      <c r="B55" s="24">
        <f>B54/B53</f>
        <v>250</v>
      </c>
      <c r="C55" s="21"/>
      <c r="D55" s="31"/>
    </row>
    <row r="56" spans="1:5" x14ac:dyDescent="0.25">
      <c r="A56" s="21" t="s">
        <v>41</v>
      </c>
      <c r="B56" s="65">
        <f>($B$5-B55)/B55</f>
        <v>19</v>
      </c>
      <c r="C56" s="21"/>
      <c r="D56" s="31"/>
    </row>
    <row r="57" spans="1:5" x14ac:dyDescent="0.25">
      <c r="A57" s="21"/>
      <c r="B57" s="21"/>
      <c r="C57" s="21"/>
      <c r="D57" s="31"/>
    </row>
    <row r="58" spans="1:5" x14ac:dyDescent="0.25">
      <c r="A58" s="25" t="s">
        <v>58</v>
      </c>
      <c r="B58" s="26"/>
      <c r="C58" s="21"/>
    </row>
    <row r="59" spans="1:5" x14ac:dyDescent="0.25">
      <c r="A59" s="21" t="s">
        <v>18</v>
      </c>
      <c r="B59" s="27">
        <f>B39</f>
        <v>360</v>
      </c>
      <c r="C59" s="21"/>
    </row>
    <row r="60" spans="1:5" x14ac:dyDescent="0.25">
      <c r="A60" s="21" t="s">
        <v>33</v>
      </c>
      <c r="B60" s="30">
        <v>1.4999999999999999E-2</v>
      </c>
      <c r="C60" s="21"/>
      <c r="D60" s="28" t="s">
        <v>53</v>
      </c>
    </row>
    <row r="61" spans="1:5" x14ac:dyDescent="0.25">
      <c r="A61" s="21" t="s">
        <v>35</v>
      </c>
      <c r="B61" s="30">
        <v>0.04</v>
      </c>
      <c r="C61" s="21"/>
      <c r="D61" s="21" t="s">
        <v>52</v>
      </c>
      <c r="E61" s="24">
        <v>1000</v>
      </c>
    </row>
    <row r="62" spans="1:5" x14ac:dyDescent="0.25">
      <c r="A62" s="21" t="s">
        <v>32</v>
      </c>
      <c r="B62" s="27">
        <f>B59/B60/B61</f>
        <v>600000</v>
      </c>
      <c r="C62" s="21"/>
      <c r="D62" s="21" t="s">
        <v>44</v>
      </c>
      <c r="E62" s="66">
        <f>B62*E61/1000</f>
        <v>600000</v>
      </c>
    </row>
    <row r="63" spans="1:5" x14ac:dyDescent="0.25">
      <c r="A63" s="22" t="s">
        <v>56</v>
      </c>
      <c r="B63" s="22">
        <v>5</v>
      </c>
      <c r="C63" s="21"/>
    </row>
    <row r="64" spans="1:5" x14ac:dyDescent="0.25">
      <c r="A64" s="22" t="s">
        <v>55</v>
      </c>
      <c r="B64" s="35">
        <f>B62*B63</f>
        <v>3000000</v>
      </c>
      <c r="C64" s="21"/>
    </row>
    <row r="65" spans="1:3" x14ac:dyDescent="0.25">
      <c r="A65" s="22" t="s">
        <v>54</v>
      </c>
      <c r="B65" s="29">
        <v>100</v>
      </c>
      <c r="C65" s="21"/>
    </row>
    <row r="66" spans="1:3" x14ac:dyDescent="0.25">
      <c r="A66" s="22" t="s">
        <v>57</v>
      </c>
      <c r="B66" s="66">
        <f>B64*B65/1000</f>
        <v>300000</v>
      </c>
      <c r="C66" s="21"/>
    </row>
    <row r="67" spans="1:3" x14ac:dyDescent="0.25">
      <c r="A67" s="21" t="s">
        <v>42</v>
      </c>
      <c r="B67" s="66">
        <f>B66/B59</f>
        <v>833.33333333333337</v>
      </c>
      <c r="C67" s="21"/>
    </row>
    <row r="68" spans="1:3" x14ac:dyDescent="0.25">
      <c r="A68" s="21" t="s">
        <v>87</v>
      </c>
      <c r="B68" s="65">
        <f>($B$5-B67)/B67</f>
        <v>5</v>
      </c>
      <c r="C68" s="21"/>
    </row>
    <row r="69" spans="1:3" x14ac:dyDescent="0.25">
      <c r="A69" s="21"/>
      <c r="B69" s="21"/>
    </row>
    <row r="70" spans="1:3" x14ac:dyDescent="0.25">
      <c r="A70" s="25" t="s">
        <v>36</v>
      </c>
      <c r="B70" s="36" t="s">
        <v>40</v>
      </c>
      <c r="C70" s="37" t="s">
        <v>66</v>
      </c>
    </row>
    <row r="71" spans="1:3" x14ac:dyDescent="0.25">
      <c r="A71" s="21" t="s">
        <v>18</v>
      </c>
      <c r="B71" s="27">
        <f>B38/2</f>
        <v>3060</v>
      </c>
      <c r="C71" s="33">
        <f>B38/2</f>
        <v>3060</v>
      </c>
    </row>
    <row r="72" spans="1:3" x14ac:dyDescent="0.25">
      <c r="A72" s="21" t="s">
        <v>37</v>
      </c>
      <c r="B72" s="30">
        <v>0.01</v>
      </c>
      <c r="C72" s="38">
        <v>3.5000000000000001E-3</v>
      </c>
    </row>
    <row r="73" spans="1:3" x14ac:dyDescent="0.25">
      <c r="A73" s="21" t="s">
        <v>38</v>
      </c>
      <c r="B73" s="30">
        <v>1.35E-2</v>
      </c>
      <c r="C73" s="39">
        <v>4.0000000000000001E-3</v>
      </c>
    </row>
    <row r="74" spans="1:3" x14ac:dyDescent="0.25">
      <c r="A74" s="21" t="s">
        <v>39</v>
      </c>
      <c r="B74" s="27">
        <f>B71/B73</f>
        <v>226666.66666666666</v>
      </c>
      <c r="C74" s="27">
        <f>C71/C73</f>
        <v>765000</v>
      </c>
    </row>
    <row r="75" spans="1:3" x14ac:dyDescent="0.25">
      <c r="A75" s="21" t="s">
        <v>68</v>
      </c>
      <c r="B75" s="27">
        <f>B74/B72</f>
        <v>22666666.666666664</v>
      </c>
      <c r="C75" s="27">
        <f>C74/C72</f>
        <v>218571428.57142857</v>
      </c>
    </row>
    <row r="76" spans="1:3" x14ac:dyDescent="0.25">
      <c r="A76" s="21" t="s">
        <v>67</v>
      </c>
      <c r="B76" s="24">
        <v>8</v>
      </c>
      <c r="C76" s="29">
        <v>8</v>
      </c>
    </row>
    <row r="77" spans="1:3" x14ac:dyDescent="0.25">
      <c r="A77" s="21" t="s">
        <v>43</v>
      </c>
      <c r="B77" s="66">
        <f>B74*B76</f>
        <v>1813333.3333333333</v>
      </c>
      <c r="C77" s="60">
        <f>C75*C76/1000</f>
        <v>1748571.4285714286</v>
      </c>
    </row>
    <row r="78" spans="1:3" x14ac:dyDescent="0.25">
      <c r="A78" s="21" t="s">
        <v>42</v>
      </c>
      <c r="B78" s="60">
        <f>B77/B71</f>
        <v>592.59259259259261</v>
      </c>
      <c r="C78" s="60">
        <f>C77/C71</f>
        <v>571.42857142857144</v>
      </c>
    </row>
    <row r="79" spans="1:3" x14ac:dyDescent="0.25">
      <c r="A79" s="22" t="s">
        <v>87</v>
      </c>
      <c r="B79" s="67">
        <f>($B$5-B78)/B78</f>
        <v>7.4374999999999991</v>
      </c>
      <c r="C79" s="67">
        <f>($B$5-C78)/C78</f>
        <v>7.7499999999999991</v>
      </c>
    </row>
    <row r="82" spans="1:1" x14ac:dyDescent="0.25">
      <c r="A82" s="22" t="s">
        <v>174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114A0-2B52-4600-94A3-17F779D6CC1E}">
  <dimension ref="B3:U24"/>
  <sheetViews>
    <sheetView showGridLines="0" zoomScale="75" zoomScaleNormal="75" workbookViewId="0">
      <selection activeCell="N15" sqref="N15"/>
    </sheetView>
  </sheetViews>
  <sheetFormatPr defaultColWidth="8.69921875" defaultRowHeight="13.2" x14ac:dyDescent="0.25"/>
  <cols>
    <col min="1" max="1" width="3.09765625" style="22" customWidth="1"/>
    <col min="2" max="16384" width="8.69921875" style="22"/>
  </cols>
  <sheetData>
    <row r="3" spans="2:21" x14ac:dyDescent="0.25">
      <c r="B3" s="28" t="s">
        <v>162</v>
      </c>
    </row>
    <row r="5" spans="2:21" ht="13.2" customHeight="1" x14ac:dyDescent="0.25">
      <c r="B5" s="157" t="s">
        <v>163</v>
      </c>
      <c r="C5" s="157"/>
      <c r="D5" s="157"/>
      <c r="E5" s="157"/>
      <c r="F5" s="157"/>
      <c r="G5" s="157"/>
      <c r="H5" s="157"/>
      <c r="I5" s="157"/>
      <c r="J5" s="157"/>
      <c r="K5" s="157"/>
      <c r="L5" s="157"/>
      <c r="M5" s="157"/>
      <c r="N5" s="157"/>
      <c r="O5" s="157"/>
      <c r="P5" s="157"/>
      <c r="Q5" s="157"/>
      <c r="R5" s="157"/>
      <c r="S5" s="157"/>
      <c r="T5" s="157"/>
      <c r="U5" s="157"/>
    </row>
    <row r="6" spans="2:21" x14ac:dyDescent="0.25">
      <c r="B6" s="157"/>
      <c r="C6" s="157"/>
      <c r="D6" s="157"/>
      <c r="E6" s="157"/>
      <c r="F6" s="157"/>
      <c r="G6" s="157"/>
      <c r="H6" s="157"/>
      <c r="I6" s="157"/>
      <c r="J6" s="157"/>
      <c r="K6" s="157"/>
      <c r="L6" s="157"/>
      <c r="M6" s="157"/>
      <c r="N6" s="157"/>
      <c r="O6" s="157"/>
      <c r="P6" s="157"/>
      <c r="Q6" s="157"/>
      <c r="R6" s="157"/>
      <c r="S6" s="157"/>
      <c r="T6" s="157"/>
      <c r="U6" s="157"/>
    </row>
    <row r="7" spans="2:21" x14ac:dyDescent="0.25">
      <c r="B7" s="157"/>
      <c r="C7" s="157"/>
      <c r="D7" s="157"/>
      <c r="E7" s="157"/>
      <c r="F7" s="157"/>
      <c r="G7" s="157"/>
      <c r="H7" s="157"/>
      <c r="I7" s="157"/>
      <c r="J7" s="157"/>
      <c r="K7" s="157"/>
      <c r="L7" s="157"/>
      <c r="M7" s="157"/>
      <c r="N7" s="157"/>
      <c r="O7" s="157"/>
      <c r="P7" s="157"/>
      <c r="Q7" s="157"/>
      <c r="R7" s="157"/>
      <c r="S7" s="157"/>
      <c r="T7" s="157"/>
      <c r="U7" s="157"/>
    </row>
    <row r="8" spans="2:21" x14ac:dyDescent="0.25">
      <c r="B8" s="157"/>
      <c r="C8" s="157"/>
      <c r="D8" s="157"/>
      <c r="E8" s="157"/>
      <c r="F8" s="157"/>
      <c r="G8" s="157"/>
      <c r="H8" s="157"/>
      <c r="I8" s="157"/>
      <c r="J8" s="157"/>
      <c r="K8" s="157"/>
      <c r="L8" s="157"/>
      <c r="M8" s="157"/>
      <c r="N8" s="157"/>
      <c r="O8" s="157"/>
      <c r="P8" s="157"/>
      <c r="Q8" s="157"/>
      <c r="R8" s="157"/>
      <c r="S8" s="157"/>
      <c r="T8" s="157"/>
      <c r="U8" s="157"/>
    </row>
    <row r="9" spans="2:21" x14ac:dyDescent="0.25">
      <c r="B9" s="157"/>
      <c r="C9" s="157"/>
      <c r="D9" s="157"/>
      <c r="E9" s="157"/>
      <c r="F9" s="157"/>
      <c r="G9" s="157"/>
      <c r="H9" s="157"/>
      <c r="I9" s="157"/>
      <c r="J9" s="157"/>
      <c r="K9" s="157"/>
      <c r="L9" s="157"/>
      <c r="M9" s="157"/>
      <c r="N9" s="157"/>
      <c r="O9" s="157"/>
      <c r="P9" s="157"/>
      <c r="Q9" s="157"/>
      <c r="R9" s="157"/>
      <c r="S9" s="157"/>
      <c r="T9" s="157"/>
      <c r="U9" s="157"/>
    </row>
    <row r="10" spans="2:21" x14ac:dyDescent="0.25">
      <c r="B10" s="157"/>
      <c r="C10" s="157"/>
      <c r="D10" s="157"/>
      <c r="E10" s="157"/>
      <c r="F10" s="157"/>
      <c r="G10" s="157"/>
      <c r="H10" s="157"/>
      <c r="I10" s="157"/>
      <c r="J10" s="157"/>
      <c r="K10" s="157"/>
      <c r="L10" s="157"/>
      <c r="M10" s="157"/>
      <c r="N10" s="157"/>
      <c r="O10" s="157"/>
      <c r="P10" s="157"/>
      <c r="Q10" s="157"/>
      <c r="R10" s="157"/>
      <c r="S10" s="157"/>
      <c r="T10" s="157"/>
      <c r="U10" s="157"/>
    </row>
    <row r="11" spans="2:21" x14ac:dyDescent="0.25">
      <c r="B11" s="157"/>
      <c r="C11" s="157"/>
      <c r="D11" s="157"/>
      <c r="E11" s="157"/>
      <c r="F11" s="157"/>
      <c r="G11" s="157"/>
      <c r="H11" s="157"/>
      <c r="I11" s="157"/>
      <c r="J11" s="157"/>
      <c r="K11" s="157"/>
      <c r="L11" s="157"/>
      <c r="M11" s="157"/>
      <c r="N11" s="157"/>
      <c r="O11" s="157"/>
      <c r="P11" s="157"/>
      <c r="Q11" s="157"/>
      <c r="R11" s="157"/>
      <c r="S11" s="157"/>
      <c r="T11" s="157"/>
      <c r="U11" s="157"/>
    </row>
    <row r="12" spans="2:21" x14ac:dyDescent="0.25">
      <c r="B12" s="71"/>
      <c r="C12" s="71"/>
      <c r="D12" s="71"/>
      <c r="E12" s="71"/>
      <c r="F12" s="71"/>
      <c r="G12" s="71"/>
      <c r="H12" s="71"/>
      <c r="I12" s="71"/>
      <c r="J12" s="71"/>
      <c r="K12" s="71"/>
      <c r="L12" s="71"/>
      <c r="M12" s="71"/>
      <c r="N12" s="71"/>
      <c r="O12" s="71"/>
      <c r="P12" s="71"/>
      <c r="Q12" s="71"/>
      <c r="R12" s="71"/>
      <c r="S12" s="71"/>
      <c r="T12" s="71"/>
      <c r="U12" s="71"/>
    </row>
    <row r="13" spans="2:21" x14ac:dyDescent="0.25">
      <c r="B13" s="71"/>
      <c r="C13" s="71"/>
      <c r="D13" s="71"/>
      <c r="E13" s="71"/>
      <c r="F13" s="71"/>
      <c r="G13" s="71"/>
      <c r="H13" s="71"/>
      <c r="I13" s="71"/>
      <c r="J13" s="71"/>
      <c r="K13" s="71"/>
      <c r="L13" s="71"/>
      <c r="M13" s="71"/>
      <c r="N13" s="71"/>
      <c r="O13" s="71"/>
      <c r="P13" s="71"/>
      <c r="Q13" s="71"/>
      <c r="R13" s="71"/>
      <c r="S13" s="71"/>
      <c r="T13" s="71"/>
      <c r="U13" s="71"/>
    </row>
    <row r="14" spans="2:21" x14ac:dyDescent="0.25">
      <c r="B14" s="71"/>
      <c r="C14" s="71"/>
      <c r="D14" s="71"/>
      <c r="E14" s="71"/>
      <c r="F14" s="71"/>
      <c r="G14" s="71"/>
      <c r="H14" s="71"/>
      <c r="I14" s="71"/>
      <c r="J14" s="71"/>
      <c r="K14" s="71"/>
      <c r="L14" s="71"/>
      <c r="M14" s="71"/>
      <c r="N14" s="71"/>
      <c r="O14" s="71"/>
      <c r="P14" s="71"/>
      <c r="Q14" s="71"/>
      <c r="R14" s="71"/>
      <c r="S14" s="71"/>
      <c r="T14" s="71"/>
      <c r="U14" s="71"/>
    </row>
    <row r="15" spans="2:21" x14ac:dyDescent="0.25">
      <c r="B15" s="71"/>
      <c r="C15" s="71"/>
      <c r="D15" s="71"/>
      <c r="E15" s="71"/>
      <c r="F15" s="71"/>
      <c r="G15" s="71"/>
      <c r="H15" s="71"/>
      <c r="I15" s="71"/>
      <c r="J15" s="71"/>
      <c r="K15" s="71"/>
      <c r="L15" s="71"/>
      <c r="M15" s="71"/>
      <c r="N15" s="158" t="s">
        <v>174</v>
      </c>
      <c r="O15" s="71"/>
      <c r="P15" s="71"/>
      <c r="Q15" s="71"/>
      <c r="R15" s="71"/>
      <c r="S15" s="71"/>
      <c r="T15" s="71"/>
      <c r="U15" s="71"/>
    </row>
    <row r="16" spans="2:21" x14ac:dyDescent="0.25">
      <c r="B16" s="71"/>
      <c r="C16" s="71"/>
      <c r="D16" s="71"/>
      <c r="E16" s="71"/>
      <c r="F16" s="71"/>
      <c r="G16" s="71"/>
      <c r="H16" s="71"/>
      <c r="I16" s="71"/>
      <c r="J16" s="71"/>
      <c r="K16" s="71"/>
      <c r="L16" s="71"/>
      <c r="M16" s="71"/>
      <c r="N16" s="71"/>
      <c r="O16" s="71"/>
      <c r="P16" s="71"/>
      <c r="Q16" s="71"/>
      <c r="R16" s="71"/>
      <c r="S16" s="71"/>
      <c r="T16" s="71"/>
      <c r="U16" s="71"/>
    </row>
    <row r="17" spans="2:21" x14ac:dyDescent="0.25">
      <c r="B17" s="71"/>
      <c r="C17" s="71"/>
      <c r="D17" s="71"/>
      <c r="E17" s="71"/>
      <c r="F17" s="71"/>
      <c r="G17" s="71"/>
      <c r="H17" s="71"/>
      <c r="I17" s="71"/>
      <c r="J17" s="71"/>
      <c r="K17" s="71"/>
      <c r="L17" s="71"/>
      <c r="M17" s="71"/>
      <c r="N17" s="71"/>
      <c r="O17" s="71"/>
      <c r="P17" s="71"/>
      <c r="Q17" s="71"/>
      <c r="R17" s="71"/>
      <c r="S17" s="71"/>
      <c r="T17" s="71"/>
      <c r="U17" s="71"/>
    </row>
    <row r="18" spans="2:21" x14ac:dyDescent="0.25">
      <c r="B18" s="71"/>
      <c r="C18" s="71"/>
      <c r="D18" s="71"/>
      <c r="E18" s="71"/>
      <c r="F18" s="71"/>
      <c r="G18" s="71"/>
      <c r="H18" s="71"/>
      <c r="I18" s="71"/>
      <c r="J18" s="71"/>
      <c r="K18" s="71"/>
      <c r="L18" s="71"/>
      <c r="M18" s="71"/>
      <c r="N18" s="71"/>
      <c r="O18" s="71"/>
      <c r="P18" s="71"/>
      <c r="Q18" s="71"/>
      <c r="R18" s="71"/>
      <c r="S18" s="71"/>
      <c r="T18" s="71"/>
      <c r="U18" s="71"/>
    </row>
    <row r="19" spans="2:21" x14ac:dyDescent="0.25">
      <c r="B19" s="71"/>
      <c r="C19" s="71"/>
      <c r="D19" s="71"/>
      <c r="E19" s="71"/>
      <c r="F19" s="71"/>
      <c r="G19" s="71"/>
      <c r="H19" s="71"/>
      <c r="I19" s="71"/>
      <c r="J19" s="71"/>
      <c r="K19" s="71"/>
      <c r="L19" s="71"/>
      <c r="M19" s="71"/>
      <c r="N19" s="71"/>
      <c r="O19" s="71"/>
      <c r="P19" s="71"/>
      <c r="Q19" s="71"/>
      <c r="R19" s="71"/>
      <c r="S19" s="71"/>
      <c r="T19" s="71"/>
      <c r="U19" s="71"/>
    </row>
    <row r="20" spans="2:21" x14ac:dyDescent="0.25">
      <c r="B20" s="71"/>
      <c r="C20" s="71"/>
      <c r="D20" s="71"/>
      <c r="E20" s="71"/>
      <c r="F20" s="71"/>
      <c r="G20" s="71"/>
      <c r="H20" s="71"/>
      <c r="I20" s="71"/>
      <c r="J20" s="71"/>
      <c r="K20" s="71"/>
      <c r="L20" s="71"/>
      <c r="M20" s="71"/>
      <c r="N20" s="71"/>
      <c r="O20" s="71"/>
      <c r="P20" s="71"/>
      <c r="Q20" s="71"/>
      <c r="R20" s="71"/>
      <c r="S20" s="71"/>
      <c r="T20" s="71"/>
      <c r="U20" s="71"/>
    </row>
    <row r="21" spans="2:21" x14ac:dyDescent="0.25">
      <c r="B21" s="71"/>
      <c r="C21" s="71"/>
      <c r="D21" s="71"/>
      <c r="E21" s="71"/>
      <c r="F21" s="71"/>
      <c r="G21" s="71"/>
      <c r="H21" s="71"/>
      <c r="I21" s="71"/>
      <c r="J21" s="71"/>
      <c r="K21" s="71"/>
      <c r="L21" s="71"/>
      <c r="M21" s="71"/>
      <c r="N21" s="71"/>
      <c r="O21" s="71"/>
      <c r="P21" s="71"/>
      <c r="Q21" s="71"/>
      <c r="R21" s="71"/>
      <c r="S21" s="71"/>
      <c r="T21" s="71"/>
      <c r="U21" s="71"/>
    </row>
    <row r="22" spans="2:21" x14ac:dyDescent="0.25">
      <c r="B22" s="71"/>
      <c r="C22" s="71"/>
      <c r="D22" s="71"/>
      <c r="E22" s="71"/>
      <c r="F22" s="71"/>
      <c r="G22" s="71"/>
      <c r="H22" s="71"/>
      <c r="I22" s="71"/>
      <c r="J22" s="71"/>
      <c r="K22" s="71"/>
      <c r="L22" s="71"/>
      <c r="M22" s="71"/>
      <c r="N22" s="71"/>
      <c r="O22" s="71"/>
      <c r="P22" s="71"/>
      <c r="Q22" s="71"/>
      <c r="R22" s="71"/>
      <c r="S22" s="71"/>
      <c r="T22" s="71"/>
      <c r="U22" s="71"/>
    </row>
    <row r="23" spans="2:21" x14ac:dyDescent="0.25">
      <c r="B23" s="71"/>
      <c r="C23" s="71"/>
      <c r="D23" s="71"/>
      <c r="E23" s="71"/>
      <c r="F23" s="71"/>
      <c r="G23" s="71"/>
      <c r="H23" s="71"/>
      <c r="I23" s="71"/>
      <c r="J23" s="71"/>
      <c r="K23" s="71"/>
      <c r="L23" s="71"/>
      <c r="M23" s="71"/>
      <c r="N23" s="71"/>
      <c r="O23" s="71"/>
      <c r="P23" s="71"/>
      <c r="Q23" s="71"/>
      <c r="R23" s="71"/>
      <c r="S23" s="71"/>
      <c r="T23" s="71"/>
      <c r="U23" s="71"/>
    </row>
    <row r="24" spans="2:21" x14ac:dyDescent="0.25">
      <c r="B24" s="71"/>
      <c r="C24" s="71"/>
      <c r="D24" s="71"/>
      <c r="E24" s="71"/>
      <c r="F24" s="71"/>
      <c r="G24" s="71"/>
      <c r="H24" s="71"/>
      <c r="I24" s="71"/>
      <c r="J24" s="71"/>
      <c r="K24" s="71"/>
      <c r="L24" s="71"/>
      <c r="M24" s="71"/>
      <c r="N24" s="71"/>
      <c r="O24" s="71"/>
      <c r="P24" s="71"/>
      <c r="Q24" s="71"/>
      <c r="R24" s="71"/>
      <c r="S24" s="71"/>
      <c r="T24" s="71"/>
      <c r="U24" s="71"/>
    </row>
  </sheetData>
  <mergeCells count="1">
    <mergeCell ref="B5:U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0ED1B-981E-4C9E-93F7-2F9A5C9455CB}">
  <dimension ref="B3:U10"/>
  <sheetViews>
    <sheetView showGridLines="0" tabSelected="1" zoomScale="75" zoomScaleNormal="75" workbookViewId="0">
      <selection activeCell="L10" sqref="L10"/>
    </sheetView>
  </sheetViews>
  <sheetFormatPr defaultColWidth="8.69921875" defaultRowHeight="13.2" x14ac:dyDescent="0.25"/>
  <cols>
    <col min="1" max="1" width="3.09765625" style="22" customWidth="1"/>
    <col min="2" max="16384" width="8.69921875" style="22"/>
  </cols>
  <sheetData>
    <row r="3" spans="2:21" x14ac:dyDescent="0.25">
      <c r="B3" s="28" t="s">
        <v>168</v>
      </c>
    </row>
    <row r="5" spans="2:21" x14ac:dyDescent="0.25">
      <c r="B5" s="157" t="s">
        <v>169</v>
      </c>
      <c r="C5" s="157"/>
      <c r="D5" s="157"/>
      <c r="E5" s="157"/>
      <c r="F5" s="157"/>
      <c r="G5" s="157"/>
      <c r="H5" s="157"/>
      <c r="I5" s="157"/>
      <c r="J5" s="157"/>
      <c r="K5" s="157"/>
      <c r="L5" s="157"/>
      <c r="M5" s="157"/>
      <c r="N5" s="157"/>
      <c r="O5" s="157"/>
      <c r="P5" s="157"/>
      <c r="Q5" s="157"/>
      <c r="R5" s="157"/>
      <c r="S5" s="157"/>
      <c r="T5" s="157"/>
      <c r="U5" s="157"/>
    </row>
    <row r="6" spans="2:21" x14ac:dyDescent="0.25">
      <c r="B6" s="157"/>
      <c r="C6" s="157"/>
      <c r="D6" s="157"/>
      <c r="E6" s="157"/>
      <c r="F6" s="157"/>
      <c r="G6" s="157"/>
      <c r="H6" s="157"/>
      <c r="I6" s="157"/>
      <c r="J6" s="157"/>
      <c r="K6" s="157"/>
      <c r="L6" s="157"/>
      <c r="M6" s="157"/>
      <c r="N6" s="157"/>
      <c r="O6" s="157"/>
      <c r="P6" s="157"/>
      <c r="Q6" s="157"/>
      <c r="R6" s="157"/>
      <c r="S6" s="157"/>
      <c r="T6" s="157"/>
      <c r="U6" s="157"/>
    </row>
    <row r="10" spans="2:21" x14ac:dyDescent="0.25">
      <c r="L10" s="22" t="s">
        <v>174</v>
      </c>
    </row>
  </sheetData>
  <mergeCells count="1">
    <mergeCell ref="B5:U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Capital &amp; Cash Flow</vt:lpstr>
      <vt:lpstr>Returns Analysis</vt:lpstr>
      <vt:lpstr>Assumptions</vt:lpstr>
      <vt:lpstr>Investor Acquisition Detail</vt:lpstr>
      <vt:lpstr>Disclaimer</vt:lpstr>
      <vt:lpstr>Filing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Allen</dc:creator>
  <dc:description/>
  <cp:lastModifiedBy>michellemoline@att.net</cp:lastModifiedBy>
  <cp:revision>1</cp:revision>
  <dcterms:created xsi:type="dcterms:W3CDTF">2019-07-10T21:04:47Z</dcterms:created>
  <dcterms:modified xsi:type="dcterms:W3CDTF">2022-05-05T18:55:49Z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